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education-my.sharepoint.com/personal/mreiner_education_ne_gov/Documents/Desktop/"/>
    </mc:Choice>
  </mc:AlternateContent>
  <xr:revisionPtr revIDLastSave="0" documentId="8_{A6ACF1C1-B046-4669-83FD-B4BA68808443}" xr6:coauthVersionLast="47" xr6:coauthVersionMax="47" xr10:uidLastSave="{00000000-0000-0000-0000-000000000000}"/>
  <bookViews>
    <workbookView xWindow="-120" yWindow="-120" windowWidth="29040" windowHeight="15840"/>
  </bookViews>
  <sheets>
    <sheet name="CIP 2020" sheetId="2" r:id="rId1"/>
    <sheet name="Crosswalk2010to2020" sheetId="1" r:id="rId2"/>
  </sheets>
  <calcPr calcId="0"/>
</workbook>
</file>

<file path=xl/calcChain.xml><?xml version="1.0" encoding="utf-8"?>
<calcChain xmlns="http://schemas.openxmlformats.org/spreadsheetml/2006/main">
  <c r="A2" i="1" l="1"/>
  <c r="E2" i="1"/>
  <c r="A3" i="1"/>
  <c r="E3" i="1"/>
  <c r="A4" i="1"/>
  <c r="E4" i="1"/>
  <c r="A5" i="1"/>
  <c r="E5" i="1"/>
  <c r="A6" i="1"/>
  <c r="E6" i="1"/>
  <c r="A7" i="1"/>
  <c r="E7" i="1"/>
  <c r="A8" i="1"/>
  <c r="E8" i="1"/>
  <c r="A9" i="1"/>
  <c r="E9" i="1"/>
  <c r="A10" i="1"/>
  <c r="E10" i="1"/>
  <c r="A11" i="1"/>
  <c r="E11" i="1"/>
  <c r="A12" i="1"/>
  <c r="E12" i="1"/>
  <c r="A13" i="1"/>
  <c r="E13" i="1"/>
  <c r="A14" i="1"/>
  <c r="E14" i="1"/>
  <c r="A15" i="1"/>
  <c r="E15" i="1"/>
  <c r="A16" i="1"/>
  <c r="E16" i="1"/>
  <c r="E17" i="1"/>
  <c r="A18" i="1"/>
  <c r="E18" i="1"/>
  <c r="A19" i="1"/>
  <c r="E19" i="1"/>
  <c r="A20" i="1"/>
  <c r="E20" i="1"/>
  <c r="A21" i="1"/>
  <c r="E21" i="1"/>
  <c r="A22" i="1"/>
  <c r="E22" i="1"/>
  <c r="A23" i="1"/>
  <c r="E23" i="1"/>
  <c r="A24" i="1"/>
  <c r="E24" i="1"/>
  <c r="A25" i="1"/>
  <c r="E25" i="1"/>
  <c r="A26" i="1"/>
  <c r="E26" i="1"/>
  <c r="A27" i="1"/>
  <c r="E27" i="1"/>
  <c r="E28" i="1"/>
  <c r="A29" i="1"/>
  <c r="E29" i="1"/>
  <c r="A30" i="1"/>
  <c r="E30" i="1"/>
  <c r="A31" i="1"/>
  <c r="E31" i="1"/>
  <c r="E32" i="1"/>
  <c r="A33" i="1"/>
  <c r="E33" i="1"/>
  <c r="A34" i="1"/>
  <c r="E34" i="1"/>
  <c r="A35" i="1"/>
  <c r="E35" i="1"/>
  <c r="A36" i="1"/>
  <c r="E36" i="1"/>
  <c r="A37" i="1"/>
  <c r="E37" i="1"/>
  <c r="E38" i="1"/>
  <c r="A39" i="1"/>
  <c r="E39" i="1"/>
  <c r="A40" i="1"/>
  <c r="E40" i="1"/>
  <c r="A41" i="1"/>
  <c r="E41" i="1"/>
  <c r="A42" i="1"/>
  <c r="E42" i="1"/>
  <c r="A43" i="1"/>
  <c r="E43" i="1"/>
  <c r="A44" i="1"/>
  <c r="E44" i="1"/>
  <c r="A45" i="1"/>
  <c r="E45" i="1"/>
  <c r="A46" i="1"/>
  <c r="E46" i="1"/>
  <c r="A47" i="1"/>
  <c r="E47" i="1"/>
  <c r="E48" i="1"/>
  <c r="E49" i="1"/>
  <c r="E50" i="1"/>
  <c r="A51" i="1"/>
  <c r="E51" i="1"/>
  <c r="A52" i="1"/>
  <c r="E52" i="1"/>
  <c r="A53" i="1"/>
  <c r="E53" i="1"/>
  <c r="A54" i="1"/>
  <c r="E54" i="1"/>
  <c r="A55" i="1"/>
  <c r="E55" i="1"/>
  <c r="A56" i="1"/>
  <c r="E56" i="1"/>
  <c r="A57" i="1"/>
  <c r="E57" i="1"/>
  <c r="A58" i="1"/>
  <c r="E58" i="1"/>
  <c r="A59" i="1"/>
  <c r="E59" i="1"/>
  <c r="A60" i="1"/>
  <c r="E60" i="1"/>
  <c r="A61" i="1"/>
  <c r="E61" i="1"/>
  <c r="A62" i="1"/>
  <c r="E62" i="1"/>
  <c r="A63" i="1"/>
  <c r="E63" i="1"/>
  <c r="A64" i="1"/>
  <c r="E64" i="1"/>
  <c r="A65" i="1"/>
  <c r="E65" i="1"/>
  <c r="A66" i="1"/>
  <c r="E66" i="1"/>
  <c r="A67" i="1"/>
  <c r="E67" i="1"/>
  <c r="A68" i="1"/>
  <c r="E68" i="1"/>
  <c r="A69" i="1"/>
  <c r="E69" i="1"/>
  <c r="E70" i="1"/>
  <c r="E71" i="1"/>
  <c r="A72" i="1"/>
  <c r="E72" i="1"/>
  <c r="A73" i="1"/>
  <c r="E73" i="1"/>
  <c r="A74" i="1"/>
  <c r="E74" i="1"/>
  <c r="A75" i="1"/>
  <c r="E75" i="1"/>
  <c r="A76" i="1"/>
  <c r="E76" i="1"/>
  <c r="A77" i="1"/>
  <c r="E77" i="1"/>
  <c r="A78" i="1"/>
  <c r="E78" i="1"/>
  <c r="A79" i="1"/>
  <c r="E79" i="1"/>
  <c r="E80" i="1"/>
  <c r="A81" i="1"/>
  <c r="E81" i="1"/>
  <c r="A82" i="1"/>
  <c r="E82" i="1"/>
  <c r="A83" i="1"/>
  <c r="E83" i="1"/>
  <c r="A84" i="1"/>
  <c r="E84" i="1"/>
  <c r="A85" i="1"/>
  <c r="E85" i="1"/>
  <c r="A86" i="1"/>
  <c r="E86" i="1"/>
  <c r="E87" i="1"/>
  <c r="E88" i="1"/>
  <c r="E89" i="1"/>
  <c r="E90" i="1"/>
  <c r="E91" i="1"/>
  <c r="E92" i="1"/>
  <c r="E93" i="1"/>
  <c r="E94" i="1"/>
  <c r="E95" i="1"/>
  <c r="E96" i="1"/>
  <c r="A97" i="1"/>
  <c r="E97" i="1"/>
  <c r="A98" i="1"/>
  <c r="E98" i="1"/>
  <c r="A99" i="1"/>
  <c r="E99" i="1"/>
  <c r="A100" i="1"/>
  <c r="E100" i="1"/>
  <c r="A101" i="1"/>
  <c r="E101" i="1"/>
  <c r="A102" i="1"/>
  <c r="E102" i="1"/>
  <c r="A103" i="1"/>
  <c r="E103" i="1"/>
  <c r="A104" i="1"/>
  <c r="E104" i="1"/>
  <c r="A105" i="1"/>
  <c r="E105" i="1"/>
  <c r="A106" i="1"/>
  <c r="E106" i="1"/>
  <c r="A107" i="1"/>
  <c r="E107" i="1"/>
  <c r="A108" i="1"/>
  <c r="E108" i="1"/>
  <c r="A109" i="1"/>
  <c r="E109" i="1"/>
  <c r="A110" i="1"/>
  <c r="E110" i="1"/>
  <c r="A111" i="1"/>
  <c r="E111" i="1"/>
  <c r="E112" i="1"/>
  <c r="E113" i="1"/>
  <c r="A114" i="1"/>
  <c r="E114" i="1"/>
  <c r="A115" i="1"/>
  <c r="E115" i="1"/>
  <c r="A116" i="1"/>
  <c r="E116" i="1"/>
  <c r="A117" i="1"/>
  <c r="E117" i="1"/>
  <c r="A118" i="1"/>
  <c r="E118" i="1"/>
  <c r="A119" i="1"/>
  <c r="E119" i="1"/>
  <c r="A120" i="1"/>
  <c r="E120" i="1"/>
  <c r="A121" i="1"/>
  <c r="E121" i="1"/>
  <c r="A122" i="1"/>
  <c r="E122" i="1"/>
  <c r="A123" i="1"/>
  <c r="E123" i="1"/>
  <c r="A124" i="1"/>
  <c r="E124" i="1"/>
  <c r="A125" i="1"/>
  <c r="E125" i="1"/>
  <c r="A126" i="1"/>
  <c r="E126" i="1"/>
  <c r="A127" i="1"/>
  <c r="E127" i="1"/>
  <c r="A128" i="1"/>
  <c r="E128" i="1"/>
  <c r="A129" i="1"/>
  <c r="E129" i="1"/>
  <c r="A130" i="1"/>
  <c r="E130" i="1"/>
  <c r="A131" i="1"/>
  <c r="E131" i="1"/>
  <c r="E132" i="1"/>
  <c r="A133" i="1"/>
  <c r="E133" i="1"/>
  <c r="E134" i="1"/>
  <c r="E135" i="1"/>
  <c r="A136" i="1"/>
  <c r="E136" i="1"/>
  <c r="A137" i="1"/>
  <c r="E137" i="1"/>
  <c r="A138" i="1"/>
  <c r="E138" i="1"/>
  <c r="A139" i="1"/>
  <c r="E139" i="1"/>
  <c r="E140" i="1"/>
  <c r="E141" i="1"/>
  <c r="E142" i="1"/>
  <c r="A143" i="1"/>
  <c r="E143" i="1"/>
  <c r="A144" i="1"/>
  <c r="E144" i="1"/>
  <c r="A145" i="1"/>
  <c r="E145" i="1"/>
  <c r="A146" i="1"/>
  <c r="E146" i="1"/>
  <c r="A147" i="1"/>
  <c r="E147" i="1"/>
  <c r="A148" i="1"/>
  <c r="E148" i="1"/>
  <c r="E149" i="1"/>
  <c r="E150" i="1"/>
  <c r="E151" i="1"/>
  <c r="A152" i="1"/>
  <c r="E152" i="1"/>
  <c r="A153" i="1"/>
  <c r="E153" i="1"/>
  <c r="A154" i="1"/>
  <c r="E154" i="1"/>
  <c r="A155" i="1"/>
  <c r="E155" i="1"/>
  <c r="A156" i="1"/>
  <c r="E156" i="1"/>
  <c r="A157" i="1"/>
  <c r="E157" i="1"/>
  <c r="A158" i="1"/>
  <c r="E158" i="1"/>
  <c r="A159" i="1"/>
  <c r="E159" i="1"/>
  <c r="A160" i="1"/>
  <c r="E160" i="1"/>
  <c r="A161" i="1"/>
  <c r="E161" i="1"/>
  <c r="A162" i="1"/>
  <c r="E162" i="1"/>
  <c r="A163" i="1"/>
  <c r="E163" i="1"/>
  <c r="A164" i="1"/>
  <c r="E164" i="1"/>
  <c r="A165" i="1"/>
  <c r="E165" i="1"/>
  <c r="A166" i="1"/>
  <c r="E166" i="1"/>
  <c r="A167" i="1"/>
  <c r="E167" i="1"/>
  <c r="A168" i="1"/>
  <c r="E168" i="1"/>
  <c r="A169" i="1"/>
  <c r="E169" i="1"/>
  <c r="A170" i="1"/>
  <c r="E170" i="1"/>
  <c r="A171" i="1"/>
  <c r="E171" i="1"/>
  <c r="A172" i="1"/>
  <c r="E172" i="1"/>
  <c r="A173" i="1"/>
  <c r="E173" i="1"/>
  <c r="A174" i="1"/>
  <c r="E174" i="1"/>
  <c r="A175" i="1"/>
  <c r="E175" i="1"/>
  <c r="A176" i="1"/>
  <c r="E176" i="1"/>
  <c r="A177" i="1"/>
  <c r="E177" i="1"/>
  <c r="A178" i="1"/>
  <c r="E178" i="1"/>
  <c r="A179" i="1"/>
  <c r="E179" i="1"/>
  <c r="A180" i="1"/>
  <c r="E180" i="1"/>
  <c r="A181" i="1"/>
  <c r="E181" i="1"/>
  <c r="A182" i="1"/>
  <c r="E182" i="1"/>
  <c r="A183" i="1"/>
  <c r="E183" i="1"/>
  <c r="A184" i="1"/>
  <c r="E184" i="1"/>
  <c r="A185" i="1"/>
  <c r="E185" i="1"/>
  <c r="A186" i="1"/>
  <c r="E186" i="1"/>
  <c r="A187" i="1"/>
  <c r="E187" i="1"/>
  <c r="A188" i="1"/>
  <c r="E188" i="1"/>
  <c r="A189" i="1"/>
  <c r="E189" i="1"/>
  <c r="A190" i="1"/>
  <c r="E190" i="1"/>
  <c r="A191" i="1"/>
  <c r="E191" i="1"/>
  <c r="A192" i="1"/>
  <c r="E192" i="1"/>
  <c r="A193" i="1"/>
  <c r="E193" i="1"/>
  <c r="A194" i="1"/>
  <c r="E194" i="1"/>
  <c r="A195" i="1"/>
  <c r="E195" i="1"/>
  <c r="E196" i="1"/>
  <c r="E197" i="1"/>
  <c r="A198" i="1"/>
  <c r="E198" i="1"/>
  <c r="A199" i="1"/>
  <c r="E199" i="1"/>
  <c r="A200" i="1"/>
  <c r="E200" i="1"/>
  <c r="A201" i="1"/>
  <c r="E201" i="1"/>
  <c r="A202" i="1"/>
  <c r="E202" i="1"/>
  <c r="A203" i="1"/>
  <c r="E203" i="1"/>
  <c r="A204" i="1"/>
  <c r="E204" i="1"/>
  <c r="A205" i="1"/>
  <c r="E205" i="1"/>
  <c r="A206" i="1"/>
  <c r="E206" i="1"/>
  <c r="A207" i="1"/>
  <c r="E207" i="1"/>
  <c r="A208" i="1"/>
  <c r="E208" i="1"/>
  <c r="A209" i="1"/>
  <c r="E209" i="1"/>
  <c r="E210" i="1"/>
  <c r="A211" i="1"/>
  <c r="E211" i="1"/>
  <c r="E212" i="1"/>
  <c r="E213" i="1"/>
  <c r="A214" i="1"/>
  <c r="E214" i="1"/>
  <c r="A215" i="1"/>
  <c r="E215" i="1"/>
  <c r="A216" i="1"/>
  <c r="E216" i="1"/>
  <c r="A217" i="1"/>
  <c r="E217" i="1"/>
  <c r="A218" i="1"/>
  <c r="E218" i="1"/>
  <c r="A219" i="1"/>
  <c r="E219" i="1"/>
  <c r="A220" i="1"/>
  <c r="E220" i="1"/>
  <c r="A221" i="1"/>
  <c r="E221" i="1"/>
  <c r="A222" i="1"/>
  <c r="E222" i="1"/>
  <c r="A223" i="1"/>
  <c r="E223" i="1"/>
  <c r="E224" i="1"/>
  <c r="E225" i="1"/>
  <c r="E226" i="1"/>
  <c r="A227" i="1"/>
  <c r="E227" i="1"/>
  <c r="A228" i="1"/>
  <c r="E228" i="1"/>
  <c r="A229" i="1"/>
  <c r="E229" i="1"/>
  <c r="A230" i="1"/>
  <c r="E230" i="1"/>
  <c r="A231" i="1"/>
  <c r="E231" i="1"/>
  <c r="A232" i="1"/>
  <c r="E232" i="1"/>
  <c r="A233" i="1"/>
  <c r="E233" i="1"/>
  <c r="A234" i="1"/>
  <c r="E234" i="1"/>
  <c r="A235" i="1"/>
  <c r="E235" i="1"/>
  <c r="A236" i="1"/>
  <c r="E236" i="1"/>
  <c r="A237" i="1"/>
  <c r="E237" i="1"/>
  <c r="A238" i="1"/>
  <c r="E238" i="1"/>
  <c r="A239" i="1"/>
  <c r="E239" i="1"/>
  <c r="A240" i="1"/>
  <c r="E240" i="1"/>
  <c r="A241" i="1"/>
  <c r="E241" i="1"/>
  <c r="E242" i="1"/>
  <c r="A243" i="1"/>
  <c r="E243" i="1"/>
  <c r="A244" i="1"/>
  <c r="E244" i="1"/>
  <c r="A245" i="1"/>
  <c r="E245" i="1"/>
  <c r="A246" i="1"/>
  <c r="E246" i="1"/>
  <c r="A247" i="1"/>
  <c r="E247" i="1"/>
  <c r="A248" i="1"/>
  <c r="E248" i="1"/>
  <c r="A249" i="1"/>
  <c r="E249" i="1"/>
  <c r="A250" i="1"/>
  <c r="E250" i="1"/>
  <c r="A251" i="1"/>
  <c r="E251" i="1"/>
  <c r="A252" i="1"/>
  <c r="E252" i="1"/>
  <c r="A253" i="1"/>
  <c r="E253" i="1"/>
  <c r="A254" i="1"/>
  <c r="E254" i="1"/>
  <c r="E255" i="1"/>
  <c r="A256" i="1"/>
  <c r="E256" i="1"/>
  <c r="A257" i="1"/>
  <c r="E257" i="1"/>
  <c r="A258" i="1"/>
  <c r="E258" i="1"/>
  <c r="A259" i="1"/>
  <c r="E259" i="1"/>
  <c r="A260" i="1"/>
  <c r="E260" i="1"/>
  <c r="A261" i="1"/>
  <c r="E261" i="1"/>
  <c r="A262" i="1"/>
  <c r="E262" i="1"/>
  <c r="A263" i="1"/>
  <c r="E263" i="1"/>
  <c r="A264" i="1"/>
  <c r="E264" i="1"/>
  <c r="A265" i="1"/>
  <c r="E265" i="1"/>
  <c r="A266" i="1"/>
  <c r="E266" i="1"/>
  <c r="A267" i="1"/>
  <c r="E267" i="1"/>
  <c r="A268" i="1"/>
  <c r="E268" i="1"/>
  <c r="A269" i="1"/>
  <c r="E269" i="1"/>
  <c r="A270" i="1"/>
  <c r="E270" i="1"/>
  <c r="A271" i="1"/>
  <c r="E271" i="1"/>
  <c r="A272" i="1"/>
  <c r="E272" i="1"/>
  <c r="A273" i="1"/>
  <c r="E273" i="1"/>
  <c r="A274" i="1"/>
  <c r="E274" i="1"/>
  <c r="E275" i="1"/>
  <c r="A276" i="1"/>
  <c r="E276" i="1"/>
  <c r="A277" i="1"/>
  <c r="E277" i="1"/>
  <c r="A278" i="1"/>
  <c r="E278" i="1"/>
  <c r="A279" i="1"/>
  <c r="E279" i="1"/>
  <c r="A280" i="1"/>
  <c r="E280" i="1"/>
  <c r="E281" i="1"/>
  <c r="E282" i="1"/>
  <c r="A283" i="1"/>
  <c r="E283" i="1"/>
  <c r="A284" i="1"/>
  <c r="E284" i="1"/>
  <c r="A285" i="1"/>
  <c r="E285" i="1"/>
  <c r="A286" i="1"/>
  <c r="E286" i="1"/>
  <c r="A287" i="1"/>
  <c r="E287" i="1"/>
  <c r="A288" i="1"/>
  <c r="E288" i="1"/>
  <c r="A289" i="1"/>
  <c r="E289" i="1"/>
  <c r="A290" i="1"/>
  <c r="E290" i="1"/>
  <c r="A291" i="1"/>
  <c r="E291" i="1"/>
  <c r="A292" i="1"/>
  <c r="E292" i="1"/>
  <c r="A293" i="1"/>
  <c r="E293" i="1"/>
  <c r="A294" i="1"/>
  <c r="E294" i="1"/>
  <c r="A295" i="1"/>
  <c r="E295" i="1"/>
  <c r="A296" i="1"/>
  <c r="E296" i="1"/>
  <c r="A297" i="1"/>
  <c r="E297" i="1"/>
  <c r="A298" i="1"/>
  <c r="E298" i="1"/>
  <c r="A299" i="1"/>
  <c r="E299" i="1"/>
  <c r="A300" i="1"/>
  <c r="E300" i="1"/>
  <c r="A301" i="1"/>
  <c r="E301" i="1"/>
  <c r="A302" i="1"/>
  <c r="E302" i="1"/>
  <c r="A303" i="1"/>
  <c r="E303" i="1"/>
  <c r="E304" i="1"/>
  <c r="E305" i="1"/>
  <c r="A306" i="1"/>
  <c r="E306" i="1"/>
  <c r="A307" i="1"/>
  <c r="E307" i="1"/>
  <c r="A308" i="1"/>
  <c r="E308" i="1"/>
  <c r="A309" i="1"/>
  <c r="E309" i="1"/>
  <c r="A310" i="1"/>
  <c r="E310" i="1"/>
  <c r="A311" i="1"/>
  <c r="E311" i="1"/>
  <c r="A312" i="1"/>
  <c r="E312" i="1"/>
  <c r="A313" i="1"/>
  <c r="E313" i="1"/>
  <c r="A314" i="1"/>
  <c r="E314" i="1"/>
  <c r="A315" i="1"/>
  <c r="E315" i="1"/>
  <c r="A316" i="1"/>
  <c r="E316" i="1"/>
  <c r="A317" i="1"/>
  <c r="E317" i="1"/>
  <c r="A318" i="1"/>
  <c r="E318" i="1"/>
  <c r="A319" i="1"/>
  <c r="E319" i="1"/>
  <c r="A320" i="1"/>
  <c r="E320" i="1"/>
  <c r="A321" i="1"/>
  <c r="E321" i="1"/>
  <c r="A322" i="1"/>
  <c r="E322" i="1"/>
  <c r="A323" i="1"/>
  <c r="E323" i="1"/>
  <c r="A324" i="1"/>
  <c r="E324" i="1"/>
  <c r="A325" i="1"/>
  <c r="E325" i="1"/>
  <c r="A326" i="1"/>
  <c r="E326" i="1"/>
  <c r="A327" i="1"/>
  <c r="E327" i="1"/>
  <c r="A328" i="1"/>
  <c r="E328" i="1"/>
  <c r="A329" i="1"/>
  <c r="E329" i="1"/>
  <c r="A330" i="1"/>
  <c r="E330" i="1"/>
  <c r="A331" i="1"/>
  <c r="E331" i="1"/>
  <c r="A332" i="1"/>
  <c r="E332" i="1"/>
  <c r="A333" i="1"/>
  <c r="E333" i="1"/>
  <c r="A334" i="1"/>
  <c r="E334" i="1"/>
  <c r="A335" i="1"/>
  <c r="E335" i="1"/>
  <c r="A336" i="1"/>
  <c r="E336" i="1"/>
  <c r="A337" i="1"/>
  <c r="E337" i="1"/>
  <c r="A338" i="1"/>
  <c r="E338" i="1"/>
  <c r="A339" i="1"/>
  <c r="E339" i="1"/>
  <c r="A340" i="1"/>
  <c r="E340" i="1"/>
  <c r="A341" i="1"/>
  <c r="E341" i="1"/>
  <c r="A342" i="1"/>
  <c r="E342" i="1"/>
  <c r="A343" i="1"/>
  <c r="E343" i="1"/>
  <c r="A344" i="1"/>
  <c r="E344" i="1"/>
  <c r="A345" i="1"/>
  <c r="E345" i="1"/>
  <c r="A346" i="1"/>
  <c r="E346" i="1"/>
  <c r="A347" i="1"/>
  <c r="E347" i="1"/>
  <c r="E348" i="1"/>
  <c r="A349" i="1"/>
  <c r="E349" i="1"/>
  <c r="E350" i="1"/>
  <c r="E351" i="1"/>
  <c r="E352" i="1"/>
  <c r="E353" i="1"/>
  <c r="A354" i="1"/>
  <c r="E354" i="1"/>
  <c r="A355" i="1"/>
  <c r="E355" i="1"/>
  <c r="A356" i="1"/>
  <c r="E356" i="1"/>
  <c r="A357" i="1"/>
  <c r="E357" i="1"/>
  <c r="A358" i="1"/>
  <c r="E358" i="1"/>
  <c r="A359" i="1"/>
  <c r="E359" i="1"/>
  <c r="A360" i="1"/>
  <c r="E360" i="1"/>
  <c r="A361" i="1"/>
  <c r="E361" i="1"/>
  <c r="A362" i="1"/>
  <c r="E362" i="1"/>
  <c r="A363" i="1"/>
  <c r="E363" i="1"/>
  <c r="A364" i="1"/>
  <c r="E364" i="1"/>
  <c r="A365" i="1"/>
  <c r="E365" i="1"/>
  <c r="A366" i="1"/>
  <c r="E366" i="1"/>
  <c r="A367" i="1"/>
  <c r="E367" i="1"/>
  <c r="A368" i="1"/>
  <c r="E368" i="1"/>
  <c r="A369" i="1"/>
  <c r="E369" i="1"/>
  <c r="A370" i="1"/>
  <c r="E370" i="1"/>
  <c r="A371" i="1"/>
  <c r="E371" i="1"/>
  <c r="A372" i="1"/>
  <c r="E372" i="1"/>
  <c r="A373" i="1"/>
  <c r="E373" i="1"/>
  <c r="A374" i="1"/>
  <c r="E374" i="1"/>
  <c r="A375" i="1"/>
  <c r="E375" i="1"/>
  <c r="A376" i="1"/>
  <c r="E376" i="1"/>
  <c r="E377" i="1"/>
  <c r="E378" i="1"/>
  <c r="E379" i="1"/>
  <c r="A380" i="1"/>
  <c r="E380" i="1"/>
  <c r="A381" i="1"/>
  <c r="E381" i="1"/>
  <c r="A382" i="1"/>
  <c r="E382" i="1"/>
  <c r="A383" i="1"/>
  <c r="E383" i="1"/>
  <c r="A384" i="1"/>
  <c r="E384" i="1"/>
  <c r="A385" i="1"/>
  <c r="E385" i="1"/>
  <c r="A386" i="1"/>
  <c r="E386" i="1"/>
  <c r="A387" i="1"/>
  <c r="E387" i="1"/>
  <c r="E388" i="1"/>
  <c r="A389" i="1"/>
  <c r="E389" i="1"/>
  <c r="A390" i="1"/>
  <c r="E390" i="1"/>
  <c r="A391" i="1"/>
  <c r="E391" i="1"/>
  <c r="A392" i="1"/>
  <c r="E392" i="1"/>
  <c r="A393" i="1"/>
  <c r="E393" i="1"/>
  <c r="A394" i="1"/>
  <c r="E394" i="1"/>
  <c r="A395" i="1"/>
  <c r="E395" i="1"/>
  <c r="A396" i="1"/>
  <c r="E396" i="1"/>
  <c r="A397" i="1"/>
  <c r="E397" i="1"/>
  <c r="A398" i="1"/>
  <c r="E398" i="1"/>
  <c r="A399" i="1"/>
  <c r="E399" i="1"/>
  <c r="A400" i="1"/>
  <c r="E400" i="1"/>
  <c r="A401" i="1"/>
  <c r="E401" i="1"/>
  <c r="A402" i="1"/>
  <c r="E402" i="1"/>
  <c r="A403" i="1"/>
  <c r="E403" i="1"/>
  <c r="A404" i="1"/>
  <c r="E404" i="1"/>
  <c r="A405" i="1"/>
  <c r="E405" i="1"/>
  <c r="A406" i="1"/>
  <c r="E406" i="1"/>
  <c r="A407" i="1"/>
  <c r="E407" i="1"/>
  <c r="A408" i="1"/>
  <c r="E408" i="1"/>
  <c r="A409" i="1"/>
  <c r="E409" i="1"/>
  <c r="A410" i="1"/>
  <c r="E410" i="1"/>
  <c r="A411" i="1"/>
  <c r="E411" i="1"/>
  <c r="A412" i="1"/>
  <c r="E412" i="1"/>
  <c r="A413" i="1"/>
  <c r="E413" i="1"/>
  <c r="A414" i="1"/>
  <c r="E414" i="1"/>
  <c r="A415" i="1"/>
  <c r="E415" i="1"/>
  <c r="A416" i="1"/>
  <c r="E416" i="1"/>
  <c r="A417" i="1"/>
  <c r="E417" i="1"/>
  <c r="A418" i="1"/>
  <c r="E418" i="1"/>
  <c r="A419" i="1"/>
  <c r="E419" i="1"/>
  <c r="A420" i="1"/>
  <c r="E420" i="1"/>
  <c r="A421" i="1"/>
  <c r="E421" i="1"/>
  <c r="A422" i="1"/>
  <c r="E422" i="1"/>
  <c r="A423" i="1"/>
  <c r="E423" i="1"/>
  <c r="A424" i="1"/>
  <c r="E424" i="1"/>
  <c r="A425" i="1"/>
  <c r="E425" i="1"/>
  <c r="A426" i="1"/>
  <c r="E426" i="1"/>
  <c r="E427" i="1"/>
  <c r="E428" i="1"/>
  <c r="E429" i="1"/>
  <c r="E430" i="1"/>
  <c r="A431" i="1"/>
  <c r="E431" i="1"/>
  <c r="A432" i="1"/>
  <c r="E432" i="1"/>
  <c r="A433" i="1"/>
  <c r="E433" i="1"/>
  <c r="A434" i="1"/>
  <c r="E434" i="1"/>
  <c r="A435" i="1"/>
  <c r="E435" i="1"/>
  <c r="A436" i="1"/>
  <c r="E436" i="1"/>
  <c r="A437" i="1"/>
  <c r="E437" i="1"/>
  <c r="A438" i="1"/>
  <c r="E438" i="1"/>
  <c r="A439" i="1"/>
  <c r="E439" i="1"/>
  <c r="A440" i="1"/>
  <c r="E440" i="1"/>
  <c r="A441" i="1"/>
  <c r="E441" i="1"/>
  <c r="A442" i="1"/>
  <c r="E442" i="1"/>
  <c r="A443" i="1"/>
  <c r="E443" i="1"/>
  <c r="A444" i="1"/>
  <c r="E444" i="1"/>
  <c r="A445" i="1"/>
  <c r="E445" i="1"/>
  <c r="A446" i="1"/>
  <c r="E446" i="1"/>
  <c r="A447" i="1"/>
  <c r="E447" i="1"/>
  <c r="A448" i="1"/>
  <c r="E448" i="1"/>
  <c r="A449" i="1"/>
  <c r="E449" i="1"/>
  <c r="A450" i="1"/>
  <c r="E450" i="1"/>
  <c r="A451" i="1"/>
  <c r="E451" i="1"/>
  <c r="A452" i="1"/>
  <c r="E452" i="1"/>
  <c r="A453" i="1"/>
  <c r="E453" i="1"/>
  <c r="A454" i="1"/>
  <c r="E454" i="1"/>
  <c r="A455" i="1"/>
  <c r="E455" i="1"/>
  <c r="A456" i="1"/>
  <c r="E456" i="1"/>
  <c r="A457" i="1"/>
  <c r="E457" i="1"/>
  <c r="A458" i="1"/>
  <c r="E458" i="1"/>
  <c r="A459" i="1"/>
  <c r="E459" i="1"/>
  <c r="A460" i="1"/>
  <c r="E460" i="1"/>
  <c r="A461" i="1"/>
  <c r="E461" i="1"/>
  <c r="A462" i="1"/>
  <c r="E462" i="1"/>
  <c r="A463" i="1"/>
  <c r="E463" i="1"/>
  <c r="A464" i="1"/>
  <c r="E464" i="1"/>
  <c r="A465" i="1"/>
  <c r="E465" i="1"/>
  <c r="A466" i="1"/>
  <c r="E466" i="1"/>
  <c r="A467" i="1"/>
  <c r="E467" i="1"/>
  <c r="A468" i="1"/>
  <c r="E468" i="1"/>
  <c r="E469" i="1"/>
  <c r="A470" i="1"/>
  <c r="E470" i="1"/>
  <c r="A471" i="1"/>
  <c r="E471" i="1"/>
  <c r="A472" i="1"/>
  <c r="E472" i="1"/>
  <c r="A473" i="1"/>
  <c r="E473" i="1"/>
  <c r="A474" i="1"/>
  <c r="E474" i="1"/>
  <c r="A475" i="1"/>
  <c r="E475" i="1"/>
  <c r="A476" i="1"/>
  <c r="E476" i="1"/>
  <c r="A477" i="1"/>
  <c r="E477" i="1"/>
  <c r="A478" i="1"/>
  <c r="E478" i="1"/>
  <c r="A479" i="1"/>
  <c r="E479" i="1"/>
  <c r="A480" i="1"/>
  <c r="E480" i="1"/>
  <c r="A481" i="1"/>
  <c r="E481" i="1"/>
  <c r="A482" i="1"/>
  <c r="E482" i="1"/>
  <c r="A483" i="1"/>
  <c r="E483" i="1"/>
  <c r="A484" i="1"/>
  <c r="E484" i="1"/>
  <c r="E485" i="1"/>
  <c r="A486" i="1"/>
  <c r="E486" i="1"/>
  <c r="A487" i="1"/>
  <c r="E487" i="1"/>
  <c r="E488" i="1"/>
  <c r="E489" i="1"/>
  <c r="A490" i="1"/>
  <c r="E490" i="1"/>
  <c r="A491" i="1"/>
  <c r="E491" i="1"/>
  <c r="A492" i="1"/>
  <c r="E492" i="1"/>
  <c r="A493" i="1"/>
  <c r="E493" i="1"/>
  <c r="A494" i="1"/>
  <c r="E494" i="1"/>
  <c r="A495" i="1"/>
  <c r="E495" i="1"/>
  <c r="A496" i="1"/>
  <c r="E496" i="1"/>
  <c r="A497" i="1"/>
  <c r="E497" i="1"/>
  <c r="A498" i="1"/>
  <c r="E498" i="1"/>
  <c r="A499" i="1"/>
  <c r="E499" i="1"/>
  <c r="A500" i="1"/>
  <c r="E500" i="1"/>
  <c r="A501" i="1"/>
  <c r="E501" i="1"/>
  <c r="A502" i="1"/>
  <c r="E502" i="1"/>
  <c r="A503" i="1"/>
  <c r="E503" i="1"/>
  <c r="A504" i="1"/>
  <c r="E504" i="1"/>
  <c r="A505" i="1"/>
  <c r="E505" i="1"/>
  <c r="A506" i="1"/>
  <c r="E506" i="1"/>
  <c r="A507" i="1"/>
  <c r="E507" i="1"/>
  <c r="A508" i="1"/>
  <c r="E508" i="1"/>
  <c r="A509" i="1"/>
  <c r="E509" i="1"/>
  <c r="A510" i="1"/>
  <c r="E510" i="1"/>
  <c r="A511" i="1"/>
  <c r="E511" i="1"/>
  <c r="A512" i="1"/>
  <c r="E512" i="1"/>
  <c r="A513" i="1"/>
  <c r="E513" i="1"/>
  <c r="A514" i="1"/>
  <c r="E514" i="1"/>
  <c r="A515" i="1"/>
  <c r="E515" i="1"/>
  <c r="A516" i="1"/>
  <c r="E516" i="1"/>
  <c r="A517" i="1"/>
  <c r="E517" i="1"/>
  <c r="A518" i="1"/>
  <c r="E518" i="1"/>
  <c r="A519" i="1"/>
  <c r="E519" i="1"/>
  <c r="A520" i="1"/>
  <c r="E520" i="1"/>
  <c r="A521" i="1"/>
  <c r="E521" i="1"/>
  <c r="A522" i="1"/>
  <c r="E522" i="1"/>
  <c r="A523" i="1"/>
  <c r="E523" i="1"/>
  <c r="A524" i="1"/>
  <c r="E524" i="1"/>
  <c r="A525" i="1"/>
  <c r="E525" i="1"/>
  <c r="A526" i="1"/>
  <c r="E526" i="1"/>
  <c r="A527" i="1"/>
  <c r="E527" i="1"/>
  <c r="A528" i="1"/>
  <c r="E528" i="1"/>
  <c r="A529" i="1"/>
  <c r="E529" i="1"/>
  <c r="A530" i="1"/>
  <c r="E530" i="1"/>
  <c r="A531" i="1"/>
  <c r="E531" i="1"/>
  <c r="A532" i="1"/>
  <c r="E532" i="1"/>
  <c r="A533" i="1"/>
  <c r="E533" i="1"/>
  <c r="A534" i="1"/>
  <c r="E534" i="1"/>
  <c r="A535" i="1"/>
  <c r="E535" i="1"/>
  <c r="A536" i="1"/>
  <c r="E536" i="1"/>
  <c r="A537" i="1"/>
  <c r="E537" i="1"/>
  <c r="A538" i="1"/>
  <c r="E538" i="1"/>
  <c r="A539" i="1"/>
  <c r="E539" i="1"/>
  <c r="A540" i="1"/>
  <c r="E540" i="1"/>
  <c r="A541" i="1"/>
  <c r="E541" i="1"/>
  <c r="A542" i="1"/>
  <c r="E542" i="1"/>
  <c r="A543" i="1"/>
  <c r="E543" i="1"/>
  <c r="A544" i="1"/>
  <c r="E544" i="1"/>
  <c r="A545" i="1"/>
  <c r="E545" i="1"/>
  <c r="A546" i="1"/>
  <c r="E546" i="1"/>
  <c r="A547" i="1"/>
  <c r="E547" i="1"/>
  <c r="A548" i="1"/>
  <c r="E548" i="1"/>
  <c r="A549" i="1"/>
  <c r="E549" i="1"/>
  <c r="A550" i="1"/>
  <c r="E550" i="1"/>
  <c r="A551" i="1"/>
  <c r="E551" i="1"/>
  <c r="A552" i="1"/>
  <c r="E552" i="1"/>
  <c r="A553" i="1"/>
  <c r="E553" i="1"/>
  <c r="A554" i="1"/>
  <c r="E554" i="1"/>
  <c r="A555" i="1"/>
  <c r="E555" i="1"/>
  <c r="A556" i="1"/>
  <c r="E556" i="1"/>
  <c r="A557" i="1"/>
  <c r="E557" i="1"/>
  <c r="A558" i="1"/>
  <c r="E558" i="1"/>
  <c r="A559" i="1"/>
  <c r="E559" i="1"/>
  <c r="A560" i="1"/>
  <c r="E560" i="1"/>
  <c r="A561" i="1"/>
  <c r="E561" i="1"/>
  <c r="A562" i="1"/>
  <c r="E562" i="1"/>
  <c r="A563" i="1"/>
  <c r="E563" i="1"/>
  <c r="A564" i="1"/>
  <c r="E564" i="1"/>
  <c r="A565" i="1"/>
  <c r="E565" i="1"/>
  <c r="A566" i="1"/>
  <c r="E566" i="1"/>
  <c r="A567" i="1"/>
  <c r="E567" i="1"/>
  <c r="A568" i="1"/>
  <c r="E568" i="1"/>
  <c r="A569" i="1"/>
  <c r="E569" i="1"/>
  <c r="A570" i="1"/>
  <c r="E570" i="1"/>
  <c r="A571" i="1"/>
  <c r="E571" i="1"/>
  <c r="A572" i="1"/>
  <c r="E572" i="1"/>
  <c r="A573" i="1"/>
  <c r="E573" i="1"/>
  <c r="A574" i="1"/>
  <c r="E574" i="1"/>
  <c r="E575" i="1"/>
  <c r="E576" i="1"/>
  <c r="E577" i="1"/>
  <c r="E578" i="1"/>
  <c r="E579" i="1"/>
  <c r="E580" i="1"/>
  <c r="A581" i="1"/>
  <c r="E581" i="1"/>
  <c r="A582" i="1"/>
  <c r="E582" i="1"/>
  <c r="A583" i="1"/>
  <c r="E583" i="1"/>
  <c r="A584" i="1"/>
  <c r="E584" i="1"/>
  <c r="A585" i="1"/>
  <c r="E585" i="1"/>
  <c r="E586" i="1"/>
  <c r="A587" i="1"/>
  <c r="E587" i="1"/>
  <c r="A588" i="1"/>
  <c r="E588" i="1"/>
  <c r="A589" i="1"/>
  <c r="E589" i="1"/>
  <c r="A590" i="1"/>
  <c r="E590" i="1"/>
  <c r="A591" i="1"/>
  <c r="E591" i="1"/>
  <c r="A592" i="1"/>
  <c r="E592" i="1"/>
  <c r="A593" i="1"/>
  <c r="E593" i="1"/>
  <c r="A594" i="1"/>
  <c r="E594" i="1"/>
  <c r="A595" i="1"/>
  <c r="E595" i="1"/>
  <c r="E596" i="1"/>
  <c r="A597" i="1"/>
  <c r="E597" i="1"/>
  <c r="A598" i="1"/>
  <c r="E598" i="1"/>
  <c r="A599" i="1"/>
  <c r="E599" i="1"/>
  <c r="A600" i="1"/>
  <c r="E600" i="1"/>
  <c r="A601" i="1"/>
  <c r="E601" i="1"/>
  <c r="A602" i="1"/>
  <c r="E602" i="1"/>
  <c r="A603" i="1"/>
  <c r="E603" i="1"/>
  <c r="E604" i="1"/>
  <c r="A605" i="1"/>
  <c r="E605" i="1"/>
  <c r="A606" i="1"/>
  <c r="E606" i="1"/>
  <c r="A607" i="1"/>
  <c r="E607" i="1"/>
  <c r="A608" i="1"/>
  <c r="E608" i="1"/>
  <c r="A609" i="1"/>
  <c r="E609" i="1"/>
  <c r="A610" i="1"/>
  <c r="E610" i="1"/>
  <c r="A611" i="1"/>
  <c r="E611" i="1"/>
  <c r="A612" i="1"/>
  <c r="E612" i="1"/>
  <c r="A613" i="1"/>
  <c r="E613" i="1"/>
  <c r="A614" i="1"/>
  <c r="E614" i="1"/>
  <c r="A615" i="1"/>
  <c r="E615" i="1"/>
  <c r="A616" i="1"/>
  <c r="E616" i="1"/>
  <c r="A617" i="1"/>
  <c r="E617" i="1"/>
  <c r="A618" i="1"/>
  <c r="E618" i="1"/>
  <c r="A619" i="1"/>
  <c r="E619" i="1"/>
  <c r="A620" i="1"/>
  <c r="E620" i="1"/>
  <c r="A621" i="1"/>
  <c r="E621" i="1"/>
  <c r="E622" i="1"/>
  <c r="A623" i="1"/>
  <c r="E623" i="1"/>
  <c r="A624" i="1"/>
  <c r="E624" i="1"/>
  <c r="A625" i="1"/>
  <c r="E625" i="1"/>
  <c r="A626" i="1"/>
  <c r="E626" i="1"/>
  <c r="A627" i="1"/>
  <c r="E627" i="1"/>
  <c r="A628" i="1"/>
  <c r="E628" i="1"/>
  <c r="E629" i="1"/>
  <c r="A630" i="1"/>
  <c r="E630" i="1"/>
  <c r="A631" i="1"/>
  <c r="E631" i="1"/>
  <c r="A632" i="1"/>
  <c r="E632" i="1"/>
  <c r="A633" i="1"/>
  <c r="E633" i="1"/>
  <c r="A634" i="1"/>
  <c r="E634" i="1"/>
  <c r="E635" i="1"/>
  <c r="E636" i="1"/>
  <c r="A637" i="1"/>
  <c r="E637" i="1"/>
  <c r="A638" i="1"/>
  <c r="E638" i="1"/>
  <c r="A639" i="1"/>
  <c r="E639" i="1"/>
  <c r="A640" i="1"/>
  <c r="E640" i="1"/>
  <c r="A641" i="1"/>
  <c r="E641" i="1"/>
  <c r="A642" i="1"/>
  <c r="E642" i="1"/>
  <c r="A643" i="1"/>
  <c r="E643" i="1"/>
  <c r="A644" i="1"/>
  <c r="E644" i="1"/>
  <c r="A645" i="1"/>
  <c r="E645" i="1"/>
  <c r="A646" i="1"/>
  <c r="E646" i="1"/>
  <c r="A647" i="1"/>
  <c r="E647" i="1"/>
  <c r="A648" i="1"/>
  <c r="E648" i="1"/>
  <c r="A649" i="1"/>
  <c r="E649" i="1"/>
  <c r="A650" i="1"/>
  <c r="E650" i="1"/>
  <c r="A651" i="1"/>
  <c r="E651" i="1"/>
  <c r="A652" i="1"/>
  <c r="E652" i="1"/>
  <c r="A653" i="1"/>
  <c r="E653" i="1"/>
  <c r="A654" i="1"/>
  <c r="E654" i="1"/>
  <c r="A655" i="1"/>
  <c r="E655" i="1"/>
  <c r="A656" i="1"/>
  <c r="E656" i="1"/>
  <c r="A657" i="1"/>
  <c r="E657" i="1"/>
  <c r="A658" i="1"/>
  <c r="E658" i="1"/>
  <c r="A659" i="1"/>
  <c r="E659" i="1"/>
  <c r="A660" i="1"/>
  <c r="E660" i="1"/>
  <c r="E661" i="1"/>
  <c r="A662" i="1"/>
  <c r="E662" i="1"/>
  <c r="A663" i="1"/>
  <c r="E663" i="1"/>
  <c r="A664" i="1"/>
  <c r="E664" i="1"/>
  <c r="A665" i="1"/>
  <c r="E665" i="1"/>
  <c r="A666" i="1"/>
  <c r="E666" i="1"/>
  <c r="A667" i="1"/>
  <c r="E667" i="1"/>
  <c r="A668" i="1"/>
  <c r="E668" i="1"/>
  <c r="A669" i="1"/>
  <c r="E669" i="1"/>
  <c r="A670" i="1"/>
  <c r="E670" i="1"/>
  <c r="A671" i="1"/>
  <c r="E671" i="1"/>
  <c r="E672" i="1"/>
  <c r="E673" i="1"/>
  <c r="E674" i="1"/>
  <c r="E675" i="1"/>
  <c r="E676" i="1"/>
  <c r="E677" i="1"/>
  <c r="A678" i="1"/>
  <c r="E678" i="1"/>
  <c r="A679" i="1"/>
  <c r="E679" i="1"/>
  <c r="A680" i="1"/>
  <c r="E680" i="1"/>
  <c r="A681" i="1"/>
  <c r="E681" i="1"/>
  <c r="A682" i="1"/>
  <c r="E682" i="1"/>
  <c r="A683" i="1"/>
  <c r="E683" i="1"/>
  <c r="A684" i="1"/>
  <c r="E684" i="1"/>
  <c r="A685" i="1"/>
  <c r="E685" i="1"/>
  <c r="A686" i="1"/>
  <c r="E686" i="1"/>
  <c r="A687" i="1"/>
  <c r="E687" i="1"/>
  <c r="A688" i="1"/>
  <c r="E688" i="1"/>
  <c r="A689" i="1"/>
  <c r="E689" i="1"/>
  <c r="A690" i="1"/>
  <c r="E690" i="1"/>
  <c r="A691" i="1"/>
  <c r="E691" i="1"/>
  <c r="A692" i="1"/>
  <c r="E692" i="1"/>
  <c r="A693" i="1"/>
  <c r="E693" i="1"/>
  <c r="A694" i="1"/>
  <c r="E694" i="1"/>
  <c r="A695" i="1"/>
  <c r="E695" i="1"/>
  <c r="A696" i="1"/>
  <c r="E696" i="1"/>
  <c r="A697" i="1"/>
  <c r="E697" i="1"/>
  <c r="A698" i="1"/>
  <c r="E698" i="1"/>
  <c r="A699" i="1"/>
  <c r="E699" i="1"/>
  <c r="A700" i="1"/>
  <c r="E700" i="1"/>
  <c r="A701" i="1"/>
  <c r="E701" i="1"/>
  <c r="A702" i="1"/>
  <c r="E702" i="1"/>
  <c r="A703" i="1"/>
  <c r="E703" i="1"/>
  <c r="A704" i="1"/>
  <c r="E704" i="1"/>
  <c r="A705" i="1"/>
  <c r="E705" i="1"/>
  <c r="A706" i="1"/>
  <c r="E706" i="1"/>
  <c r="A707" i="1"/>
  <c r="E707" i="1"/>
  <c r="A708" i="1"/>
  <c r="E708" i="1"/>
  <c r="A709" i="1"/>
  <c r="E709" i="1"/>
  <c r="A710" i="1"/>
  <c r="E710" i="1"/>
  <c r="A711" i="1"/>
  <c r="E711" i="1"/>
  <c r="A712" i="1"/>
  <c r="E712" i="1"/>
  <c r="A713" i="1"/>
  <c r="E713" i="1"/>
  <c r="A714" i="1"/>
  <c r="E714" i="1"/>
  <c r="A715" i="1"/>
  <c r="E715" i="1"/>
  <c r="A716" i="1"/>
  <c r="E716" i="1"/>
  <c r="A717" i="1"/>
  <c r="E717" i="1"/>
  <c r="A718" i="1"/>
  <c r="E718" i="1"/>
  <c r="A719" i="1"/>
  <c r="E719" i="1"/>
  <c r="A720" i="1"/>
  <c r="E720" i="1"/>
  <c r="A721" i="1"/>
  <c r="E721" i="1"/>
  <c r="A722" i="1"/>
  <c r="E722" i="1"/>
  <c r="A723" i="1"/>
  <c r="E723" i="1"/>
  <c r="A724" i="1"/>
  <c r="E724" i="1"/>
  <c r="A725" i="1"/>
  <c r="E725" i="1"/>
  <c r="A726" i="1"/>
  <c r="E726" i="1"/>
  <c r="A727" i="1"/>
  <c r="E727" i="1"/>
  <c r="A728" i="1"/>
  <c r="E728" i="1"/>
  <c r="A729" i="1"/>
  <c r="E729" i="1"/>
  <c r="A730" i="1"/>
  <c r="E730" i="1"/>
  <c r="A731" i="1"/>
  <c r="E731" i="1"/>
  <c r="A732" i="1"/>
  <c r="E732" i="1"/>
  <c r="A733" i="1"/>
  <c r="E733" i="1"/>
  <c r="A734" i="1"/>
  <c r="E734" i="1"/>
  <c r="A735" i="1"/>
  <c r="E735" i="1"/>
  <c r="A736" i="1"/>
  <c r="E736" i="1"/>
  <c r="A737" i="1"/>
  <c r="E737" i="1"/>
  <c r="A738" i="1"/>
  <c r="E738" i="1"/>
  <c r="A739" i="1"/>
  <c r="E739" i="1"/>
  <c r="A740" i="1"/>
  <c r="E740" i="1"/>
  <c r="A741" i="1"/>
  <c r="E741" i="1"/>
  <c r="A742" i="1"/>
  <c r="E742" i="1"/>
  <c r="A743" i="1"/>
  <c r="E743" i="1"/>
  <c r="A744" i="1"/>
  <c r="E744" i="1"/>
  <c r="A745" i="1"/>
  <c r="E745" i="1"/>
  <c r="A746" i="1"/>
  <c r="E746" i="1"/>
  <c r="A747" i="1"/>
  <c r="E747" i="1"/>
  <c r="A748" i="1"/>
  <c r="E748" i="1"/>
  <c r="A749" i="1"/>
  <c r="E749" i="1"/>
  <c r="A750" i="1"/>
  <c r="E750" i="1"/>
  <c r="A751" i="1"/>
  <c r="E751" i="1"/>
  <c r="A752" i="1"/>
  <c r="E752" i="1"/>
  <c r="A753" i="1"/>
  <c r="E753" i="1"/>
  <c r="A754" i="1"/>
  <c r="E754" i="1"/>
  <c r="A755" i="1"/>
  <c r="E755" i="1"/>
  <c r="A756" i="1"/>
  <c r="E756" i="1"/>
  <c r="A757" i="1"/>
  <c r="E757" i="1"/>
  <c r="A758" i="1"/>
  <c r="E758" i="1"/>
  <c r="A759" i="1"/>
  <c r="E759" i="1"/>
  <c r="A760" i="1"/>
  <c r="E760" i="1"/>
  <c r="A761" i="1"/>
  <c r="E761" i="1"/>
  <c r="A762" i="1"/>
  <c r="E762" i="1"/>
  <c r="A763" i="1"/>
  <c r="E763" i="1"/>
  <c r="A764" i="1"/>
  <c r="E764" i="1"/>
  <c r="A765" i="1"/>
  <c r="E765" i="1"/>
  <c r="E766" i="1"/>
  <c r="A767" i="1"/>
  <c r="E767" i="1"/>
  <c r="A768" i="1"/>
  <c r="E768" i="1"/>
  <c r="A769" i="1"/>
  <c r="E769" i="1"/>
  <c r="A770" i="1"/>
  <c r="E770" i="1"/>
  <c r="A771" i="1"/>
  <c r="E771" i="1"/>
  <c r="A772" i="1"/>
  <c r="E772" i="1"/>
  <c r="A773" i="1"/>
  <c r="E773" i="1"/>
  <c r="A774" i="1"/>
  <c r="E774" i="1"/>
  <c r="A775" i="1"/>
  <c r="E775" i="1"/>
  <c r="A776" i="1"/>
  <c r="E776" i="1"/>
  <c r="A777" i="1"/>
  <c r="E777" i="1"/>
  <c r="A778" i="1"/>
  <c r="E778" i="1"/>
  <c r="E779" i="1"/>
  <c r="E780" i="1"/>
  <c r="E781" i="1"/>
  <c r="E782" i="1"/>
  <c r="E783" i="1"/>
  <c r="E784" i="1"/>
  <c r="A785" i="1"/>
  <c r="E785" i="1"/>
  <c r="A786" i="1"/>
  <c r="E786" i="1"/>
  <c r="A787" i="1"/>
  <c r="E787" i="1"/>
  <c r="A788" i="1"/>
  <c r="E788" i="1"/>
  <c r="A789" i="1"/>
  <c r="E789" i="1"/>
  <c r="A790" i="1"/>
  <c r="E790" i="1"/>
  <c r="A791" i="1"/>
  <c r="E791" i="1"/>
  <c r="A792" i="1"/>
  <c r="E792" i="1"/>
  <c r="A793" i="1"/>
  <c r="E793" i="1"/>
  <c r="A794" i="1"/>
  <c r="E794" i="1"/>
  <c r="A795" i="1"/>
  <c r="E795" i="1"/>
  <c r="A796" i="1"/>
  <c r="E796" i="1"/>
  <c r="A797" i="1"/>
  <c r="E797" i="1"/>
  <c r="A798" i="1"/>
  <c r="E798" i="1"/>
  <c r="A799" i="1"/>
  <c r="E799" i="1"/>
  <c r="A800" i="1"/>
  <c r="E800" i="1"/>
  <c r="A801" i="1"/>
  <c r="E801" i="1"/>
  <c r="A802" i="1"/>
  <c r="E802" i="1"/>
  <c r="A803" i="1"/>
  <c r="E803" i="1"/>
  <c r="A804" i="1"/>
  <c r="E804" i="1"/>
  <c r="A805" i="1"/>
  <c r="E805" i="1"/>
  <c r="A806" i="1"/>
  <c r="E806" i="1"/>
  <c r="A807" i="1"/>
  <c r="E807" i="1"/>
  <c r="A808" i="1"/>
  <c r="E808" i="1"/>
  <c r="A809" i="1"/>
  <c r="E809" i="1"/>
  <c r="A810" i="1"/>
  <c r="E810" i="1"/>
  <c r="A811" i="1"/>
  <c r="E811" i="1"/>
  <c r="A812" i="1"/>
  <c r="E812" i="1"/>
  <c r="A813" i="1"/>
  <c r="E813" i="1"/>
  <c r="A814" i="1"/>
  <c r="E814" i="1"/>
  <c r="A815" i="1"/>
  <c r="E815" i="1"/>
  <c r="A816" i="1"/>
  <c r="E816" i="1"/>
  <c r="A817" i="1"/>
  <c r="E817" i="1"/>
  <c r="A818" i="1"/>
  <c r="E818" i="1"/>
  <c r="A819" i="1"/>
  <c r="E819" i="1"/>
  <c r="A820" i="1"/>
  <c r="E820" i="1"/>
  <c r="E821" i="1"/>
  <c r="E822" i="1"/>
  <c r="A823" i="1"/>
  <c r="E823" i="1"/>
  <c r="A824" i="1"/>
  <c r="E824" i="1"/>
  <c r="A825" i="1"/>
  <c r="E825" i="1"/>
  <c r="A826" i="1"/>
  <c r="E826" i="1"/>
  <c r="A827" i="1"/>
  <c r="E827" i="1"/>
  <c r="A828" i="1"/>
  <c r="E828" i="1"/>
  <c r="A829" i="1"/>
  <c r="E829" i="1"/>
  <c r="A830" i="1"/>
  <c r="E830" i="1"/>
  <c r="A831" i="1"/>
  <c r="E831" i="1"/>
  <c r="A832" i="1"/>
  <c r="E832" i="1"/>
  <c r="E833" i="1"/>
  <c r="E834" i="1"/>
  <c r="E835" i="1"/>
  <c r="A836" i="1"/>
  <c r="E836" i="1"/>
  <c r="A837" i="1"/>
  <c r="E837" i="1"/>
  <c r="A838" i="1"/>
  <c r="E838" i="1"/>
  <c r="A839" i="1"/>
  <c r="E839" i="1"/>
  <c r="E840" i="1"/>
  <c r="A841" i="1"/>
  <c r="E841" i="1"/>
  <c r="A842" i="1"/>
  <c r="E842" i="1"/>
  <c r="A843" i="1"/>
  <c r="E843" i="1"/>
  <c r="A844" i="1"/>
  <c r="E844" i="1"/>
  <c r="A845" i="1"/>
  <c r="E845" i="1"/>
  <c r="A846" i="1"/>
  <c r="E846" i="1"/>
  <c r="A847" i="1"/>
  <c r="E847" i="1"/>
  <c r="A848" i="1"/>
  <c r="E848" i="1"/>
  <c r="A849" i="1"/>
  <c r="E849" i="1"/>
  <c r="A850" i="1"/>
  <c r="E850" i="1"/>
  <c r="A851" i="1"/>
  <c r="E851" i="1"/>
  <c r="A852" i="1"/>
  <c r="E852" i="1"/>
  <c r="A853" i="1"/>
  <c r="E853" i="1"/>
  <c r="A854" i="1"/>
  <c r="E854" i="1"/>
  <c r="A855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A868" i="1"/>
  <c r="E868" i="1"/>
  <c r="A869" i="1"/>
  <c r="E869" i="1"/>
  <c r="A870" i="1"/>
  <c r="E870" i="1"/>
  <c r="A871" i="1"/>
  <c r="E871" i="1"/>
  <c r="A872" i="1"/>
  <c r="E872" i="1"/>
  <c r="E873" i="1"/>
  <c r="E874" i="1"/>
  <c r="A875" i="1"/>
  <c r="E875" i="1"/>
  <c r="A876" i="1"/>
  <c r="E876" i="1"/>
  <c r="A877" i="1"/>
  <c r="E877" i="1"/>
  <c r="A878" i="1"/>
  <c r="E878" i="1"/>
  <c r="A879" i="1"/>
  <c r="E879" i="1"/>
  <c r="A880" i="1"/>
  <c r="E880" i="1"/>
  <c r="A881" i="1"/>
  <c r="E881" i="1"/>
  <c r="A882" i="1"/>
  <c r="E882" i="1"/>
  <c r="A883" i="1"/>
  <c r="E883" i="1"/>
  <c r="A884" i="1"/>
  <c r="E884" i="1"/>
  <c r="A885" i="1"/>
  <c r="E885" i="1"/>
  <c r="A886" i="1"/>
  <c r="E886" i="1"/>
  <c r="A887" i="1"/>
  <c r="E887" i="1"/>
  <c r="A888" i="1"/>
  <c r="E888" i="1"/>
  <c r="A889" i="1"/>
  <c r="E889" i="1"/>
  <c r="A890" i="1"/>
  <c r="E890" i="1"/>
  <c r="A891" i="1"/>
  <c r="E891" i="1"/>
  <c r="A892" i="1"/>
  <c r="E892" i="1"/>
  <c r="A893" i="1"/>
  <c r="E893" i="1"/>
  <c r="A894" i="1"/>
  <c r="E894" i="1"/>
  <c r="A895" i="1"/>
  <c r="E895" i="1"/>
  <c r="A896" i="1"/>
  <c r="E896" i="1"/>
  <c r="A897" i="1"/>
  <c r="E897" i="1"/>
  <c r="A898" i="1"/>
  <c r="E898" i="1"/>
  <c r="A899" i="1"/>
  <c r="E899" i="1"/>
  <c r="A900" i="1"/>
  <c r="E900" i="1"/>
  <c r="A901" i="1"/>
  <c r="E901" i="1"/>
  <c r="A902" i="1"/>
  <c r="E902" i="1"/>
  <c r="A903" i="1"/>
  <c r="E903" i="1"/>
  <c r="A904" i="1"/>
  <c r="E904" i="1"/>
  <c r="A905" i="1"/>
  <c r="E905" i="1"/>
  <c r="A906" i="1"/>
  <c r="E906" i="1"/>
  <c r="A907" i="1"/>
  <c r="E907" i="1"/>
  <c r="A908" i="1"/>
  <c r="E908" i="1"/>
  <c r="A909" i="1"/>
  <c r="E909" i="1"/>
  <c r="A910" i="1"/>
  <c r="E910" i="1"/>
  <c r="A911" i="1"/>
  <c r="E911" i="1"/>
  <c r="A912" i="1"/>
  <c r="E912" i="1"/>
  <c r="A913" i="1"/>
  <c r="E913" i="1"/>
  <c r="A914" i="1"/>
  <c r="E914" i="1"/>
  <c r="A915" i="1"/>
  <c r="E915" i="1"/>
  <c r="A916" i="1"/>
  <c r="E916" i="1"/>
  <c r="A917" i="1"/>
  <c r="E917" i="1"/>
  <c r="A918" i="1"/>
  <c r="E918" i="1"/>
  <c r="A919" i="1"/>
  <c r="E919" i="1"/>
  <c r="A920" i="1"/>
  <c r="E920" i="1"/>
  <c r="A921" i="1"/>
  <c r="E921" i="1"/>
  <c r="A922" i="1"/>
  <c r="E922" i="1"/>
  <c r="A923" i="1"/>
  <c r="E923" i="1"/>
  <c r="A924" i="1"/>
  <c r="E924" i="1"/>
  <c r="A925" i="1"/>
  <c r="E925" i="1"/>
  <c r="A926" i="1"/>
  <c r="E926" i="1"/>
  <c r="A927" i="1"/>
  <c r="E927" i="1"/>
  <c r="A928" i="1"/>
  <c r="E928" i="1"/>
  <c r="A929" i="1"/>
  <c r="E929" i="1"/>
  <c r="A930" i="1"/>
  <c r="E930" i="1"/>
  <c r="A931" i="1"/>
  <c r="E931" i="1"/>
  <c r="A932" i="1"/>
  <c r="E932" i="1"/>
  <c r="A933" i="1"/>
  <c r="E933" i="1"/>
  <c r="A934" i="1"/>
  <c r="E934" i="1"/>
  <c r="A935" i="1"/>
  <c r="E935" i="1"/>
  <c r="A936" i="1"/>
  <c r="E936" i="1"/>
  <c r="A937" i="1"/>
  <c r="E937" i="1"/>
  <c r="A938" i="1"/>
  <c r="E938" i="1"/>
  <c r="A939" i="1"/>
  <c r="E939" i="1"/>
  <c r="A940" i="1"/>
  <c r="E940" i="1"/>
  <c r="A941" i="1"/>
  <c r="E941" i="1"/>
  <c r="A942" i="1"/>
  <c r="E942" i="1"/>
  <c r="A943" i="1"/>
  <c r="E943" i="1"/>
  <c r="A944" i="1"/>
  <c r="E944" i="1"/>
  <c r="A945" i="1"/>
  <c r="E945" i="1"/>
  <c r="A946" i="1"/>
  <c r="E946" i="1"/>
  <c r="A947" i="1"/>
  <c r="E947" i="1"/>
  <c r="E948" i="1"/>
  <c r="A949" i="1"/>
  <c r="E949" i="1"/>
  <c r="A950" i="1"/>
  <c r="E950" i="1"/>
  <c r="A951" i="1"/>
  <c r="E951" i="1"/>
  <c r="A952" i="1"/>
  <c r="E952" i="1"/>
  <c r="A953" i="1"/>
  <c r="E953" i="1"/>
  <c r="A954" i="1"/>
  <c r="E954" i="1"/>
  <c r="A955" i="1"/>
  <c r="E955" i="1"/>
  <c r="A956" i="1"/>
  <c r="E956" i="1"/>
  <c r="A957" i="1"/>
  <c r="E957" i="1"/>
  <c r="A958" i="1"/>
  <c r="E958" i="1"/>
  <c r="A959" i="1"/>
  <c r="E959" i="1"/>
  <c r="A960" i="1"/>
  <c r="E960" i="1"/>
  <c r="A961" i="1"/>
  <c r="E961" i="1"/>
  <c r="A962" i="1"/>
  <c r="E962" i="1"/>
  <c r="A963" i="1"/>
  <c r="E963" i="1"/>
  <c r="A964" i="1"/>
  <c r="E964" i="1"/>
  <c r="A965" i="1"/>
  <c r="E965" i="1"/>
  <c r="A966" i="1"/>
  <c r="E966" i="1"/>
  <c r="A967" i="1"/>
  <c r="E967" i="1"/>
  <c r="A968" i="1"/>
  <c r="E968" i="1"/>
  <c r="A969" i="1"/>
  <c r="E969" i="1"/>
  <c r="A970" i="1"/>
  <c r="E970" i="1"/>
  <c r="A971" i="1"/>
  <c r="E971" i="1"/>
  <c r="A972" i="1"/>
  <c r="E972" i="1"/>
  <c r="A973" i="1"/>
  <c r="E973" i="1"/>
  <c r="A974" i="1"/>
  <c r="E974" i="1"/>
  <c r="A975" i="1"/>
  <c r="E975" i="1"/>
  <c r="A976" i="1"/>
  <c r="E976" i="1"/>
  <c r="A977" i="1"/>
  <c r="E977" i="1"/>
  <c r="E978" i="1"/>
  <c r="A979" i="1"/>
  <c r="E979" i="1"/>
  <c r="A980" i="1"/>
  <c r="E980" i="1"/>
  <c r="A981" i="1"/>
  <c r="E981" i="1"/>
  <c r="A982" i="1"/>
  <c r="E982" i="1"/>
  <c r="A983" i="1"/>
  <c r="E983" i="1"/>
  <c r="A984" i="1"/>
  <c r="E984" i="1"/>
  <c r="A985" i="1"/>
  <c r="E985" i="1"/>
  <c r="A986" i="1"/>
  <c r="E986" i="1"/>
  <c r="A987" i="1"/>
  <c r="E987" i="1"/>
  <c r="A988" i="1"/>
  <c r="E988" i="1"/>
  <c r="A989" i="1"/>
  <c r="E989" i="1"/>
  <c r="A990" i="1"/>
  <c r="E990" i="1"/>
  <c r="A991" i="1"/>
  <c r="E991" i="1"/>
  <c r="A992" i="1"/>
  <c r="E992" i="1"/>
  <c r="A993" i="1"/>
  <c r="E993" i="1"/>
  <c r="A994" i="1"/>
  <c r="E994" i="1"/>
  <c r="A995" i="1"/>
  <c r="E995" i="1"/>
  <c r="A996" i="1"/>
  <c r="E996" i="1"/>
  <c r="A997" i="1"/>
  <c r="E997" i="1"/>
  <c r="A998" i="1"/>
  <c r="E998" i="1"/>
  <c r="A999" i="1"/>
  <c r="E999" i="1"/>
  <c r="A1000" i="1"/>
  <c r="E1000" i="1"/>
  <c r="A1001" i="1"/>
  <c r="E1001" i="1"/>
  <c r="A1002" i="1"/>
  <c r="E1002" i="1"/>
  <c r="A1003" i="1"/>
  <c r="E1003" i="1"/>
  <c r="A1004" i="1"/>
  <c r="E1004" i="1"/>
  <c r="A1005" i="1"/>
  <c r="E1005" i="1"/>
  <c r="A1006" i="1"/>
  <c r="E1006" i="1"/>
  <c r="A1007" i="1"/>
  <c r="E1007" i="1"/>
  <c r="E1008" i="1"/>
  <c r="A1009" i="1"/>
  <c r="E1009" i="1"/>
  <c r="A1010" i="1"/>
  <c r="E1010" i="1"/>
  <c r="A1011" i="1"/>
  <c r="E1011" i="1"/>
  <c r="A1012" i="1"/>
  <c r="E1012" i="1"/>
  <c r="A1013" i="1"/>
  <c r="E1013" i="1"/>
  <c r="A1014" i="1"/>
  <c r="E1014" i="1"/>
  <c r="A1015" i="1"/>
  <c r="E1015" i="1"/>
  <c r="A1016" i="1"/>
  <c r="E1016" i="1"/>
  <c r="A1017" i="1"/>
  <c r="E1017" i="1"/>
  <c r="A1018" i="1"/>
  <c r="E1018" i="1"/>
  <c r="A1019" i="1"/>
  <c r="E1019" i="1"/>
  <c r="A1020" i="1"/>
  <c r="E1020" i="1"/>
  <c r="A1021" i="1"/>
  <c r="E1021" i="1"/>
  <c r="A1022" i="1"/>
  <c r="E1022" i="1"/>
  <c r="A1023" i="1"/>
  <c r="E1023" i="1"/>
  <c r="A1024" i="1"/>
  <c r="E1024" i="1"/>
  <c r="A1025" i="1"/>
  <c r="E1025" i="1"/>
  <c r="A1026" i="1"/>
  <c r="E1026" i="1"/>
  <c r="A1027" i="1"/>
  <c r="E1027" i="1"/>
  <c r="A1028" i="1"/>
  <c r="E1028" i="1"/>
  <c r="A1029" i="1"/>
  <c r="E1029" i="1"/>
  <c r="A1030" i="1"/>
  <c r="E1030" i="1"/>
  <c r="A1031" i="1"/>
  <c r="E1031" i="1"/>
  <c r="A1032" i="1"/>
  <c r="E1032" i="1"/>
  <c r="A1033" i="1"/>
  <c r="E1033" i="1"/>
  <c r="A1034" i="1"/>
  <c r="E1034" i="1"/>
  <c r="A1035" i="1"/>
  <c r="E1035" i="1"/>
  <c r="A1036" i="1"/>
  <c r="E1036" i="1"/>
  <c r="A1037" i="1"/>
  <c r="E1037" i="1"/>
  <c r="A1038" i="1"/>
  <c r="E1038" i="1"/>
  <c r="A1039" i="1"/>
  <c r="E1039" i="1"/>
  <c r="E1040" i="1"/>
  <c r="E1041" i="1"/>
  <c r="A1042" i="1"/>
  <c r="E1042" i="1"/>
  <c r="A1043" i="1"/>
  <c r="E1043" i="1"/>
  <c r="A1044" i="1"/>
  <c r="E1044" i="1"/>
  <c r="A1045" i="1"/>
  <c r="E1045" i="1"/>
  <c r="A1046" i="1"/>
  <c r="E1046" i="1"/>
  <c r="A1047" i="1"/>
  <c r="E1047" i="1"/>
  <c r="A1048" i="1"/>
  <c r="E1048" i="1"/>
  <c r="A1049" i="1"/>
  <c r="E1049" i="1"/>
  <c r="A1050" i="1"/>
  <c r="E1050" i="1"/>
  <c r="A1051" i="1"/>
  <c r="E1051" i="1"/>
  <c r="A1052" i="1"/>
  <c r="E1052" i="1"/>
  <c r="A1053" i="1"/>
  <c r="E1053" i="1"/>
  <c r="A1054" i="1"/>
  <c r="E1054" i="1"/>
  <c r="A1055" i="1"/>
  <c r="E1055" i="1"/>
  <c r="A1056" i="1"/>
  <c r="E1056" i="1"/>
  <c r="A1057" i="1"/>
  <c r="E1057" i="1"/>
  <c r="A1058" i="1"/>
  <c r="E1058" i="1"/>
  <c r="A1059" i="1"/>
  <c r="E1059" i="1"/>
  <c r="A1060" i="1"/>
  <c r="E1060" i="1"/>
  <c r="A1061" i="1"/>
  <c r="E1061" i="1"/>
  <c r="A1062" i="1"/>
  <c r="E1062" i="1"/>
  <c r="A1063" i="1"/>
  <c r="E1063" i="1"/>
  <c r="A1064" i="1"/>
  <c r="E1064" i="1"/>
  <c r="A1065" i="1"/>
  <c r="E1065" i="1"/>
  <c r="A1066" i="1"/>
  <c r="E1066" i="1"/>
  <c r="A1067" i="1"/>
  <c r="E1067" i="1"/>
  <c r="A1068" i="1"/>
  <c r="E1068" i="1"/>
  <c r="A1069" i="1"/>
  <c r="E1069" i="1"/>
  <c r="A1070" i="1"/>
  <c r="E1070" i="1"/>
  <c r="A1071" i="1"/>
  <c r="E1071" i="1"/>
  <c r="A1072" i="1"/>
  <c r="E1072" i="1"/>
  <c r="A1073" i="1"/>
  <c r="E1073" i="1"/>
  <c r="E1074" i="1"/>
  <c r="E1075" i="1"/>
  <c r="A1076" i="1"/>
  <c r="E1076" i="1"/>
  <c r="A1077" i="1"/>
  <c r="E1077" i="1"/>
  <c r="A1078" i="1"/>
  <c r="E1078" i="1"/>
  <c r="A1079" i="1"/>
  <c r="E1079" i="1"/>
  <c r="A1080" i="1"/>
  <c r="E1080" i="1"/>
  <c r="A1081" i="1"/>
  <c r="E1081" i="1"/>
  <c r="A1082" i="1"/>
  <c r="E1082" i="1"/>
  <c r="A1083" i="1"/>
  <c r="E1083" i="1"/>
  <c r="A1084" i="1"/>
  <c r="E1084" i="1"/>
  <c r="A1085" i="1"/>
  <c r="E1085" i="1"/>
  <c r="A1086" i="1"/>
  <c r="E1086" i="1"/>
  <c r="A1087" i="1"/>
  <c r="E1087" i="1"/>
  <c r="A1088" i="1"/>
  <c r="E1088" i="1"/>
  <c r="A1089" i="1"/>
  <c r="E1089" i="1"/>
  <c r="A1090" i="1"/>
  <c r="E1090" i="1"/>
  <c r="A1091" i="1"/>
  <c r="E1091" i="1"/>
  <c r="A1092" i="1"/>
  <c r="E1092" i="1"/>
  <c r="A1093" i="1"/>
  <c r="E1093" i="1"/>
  <c r="A1094" i="1"/>
  <c r="E1094" i="1"/>
  <c r="A1095" i="1"/>
  <c r="E1095" i="1"/>
  <c r="A1096" i="1"/>
  <c r="E1096" i="1"/>
  <c r="A1097" i="1"/>
  <c r="E1097" i="1"/>
  <c r="A1098" i="1"/>
  <c r="E1098" i="1"/>
  <c r="A1099" i="1"/>
  <c r="E1099" i="1"/>
  <c r="A1100" i="1"/>
  <c r="E1100" i="1"/>
  <c r="A1101" i="1"/>
  <c r="E1101" i="1"/>
  <c r="A1102" i="1"/>
  <c r="E1102" i="1"/>
  <c r="A1103" i="1"/>
  <c r="E1103" i="1"/>
  <c r="A1104" i="1"/>
  <c r="E1104" i="1"/>
  <c r="A1105" i="1"/>
  <c r="E1105" i="1"/>
  <c r="A1106" i="1"/>
  <c r="E1106" i="1"/>
  <c r="A1107" i="1"/>
  <c r="E1107" i="1"/>
  <c r="E1108" i="1"/>
  <c r="E1109" i="1"/>
  <c r="E1110" i="1"/>
  <c r="E1111" i="1"/>
  <c r="A1112" i="1"/>
  <c r="E1112" i="1"/>
  <c r="A1113" i="1"/>
  <c r="E1113" i="1"/>
  <c r="A1114" i="1"/>
  <c r="E1114" i="1"/>
  <c r="A1115" i="1"/>
  <c r="E1115" i="1"/>
  <c r="A1116" i="1"/>
  <c r="E1116" i="1"/>
  <c r="E1117" i="1"/>
  <c r="A1118" i="1"/>
  <c r="E1118" i="1"/>
  <c r="A1119" i="1"/>
  <c r="E1119" i="1"/>
  <c r="A1120" i="1"/>
  <c r="E1120" i="1"/>
  <c r="A1121" i="1"/>
  <c r="E1121" i="1"/>
  <c r="A1122" i="1"/>
  <c r="E1122" i="1"/>
  <c r="A1123" i="1"/>
  <c r="E1123" i="1"/>
  <c r="A1124" i="1"/>
  <c r="E1124" i="1"/>
  <c r="A1125" i="1"/>
  <c r="E1125" i="1"/>
  <c r="A1126" i="1"/>
  <c r="E1126" i="1"/>
  <c r="A1127" i="1"/>
  <c r="E1127" i="1"/>
  <c r="A1128" i="1"/>
  <c r="E1128" i="1"/>
  <c r="A1129" i="1"/>
  <c r="E1129" i="1"/>
  <c r="A1130" i="1"/>
  <c r="E1130" i="1"/>
  <c r="A1131" i="1"/>
  <c r="E1131" i="1"/>
  <c r="A1132" i="1"/>
  <c r="E1132" i="1"/>
  <c r="A1133" i="1"/>
  <c r="E1133" i="1"/>
  <c r="A1134" i="1"/>
  <c r="E1134" i="1"/>
  <c r="A1135" i="1"/>
  <c r="E1135" i="1"/>
  <c r="A1136" i="1"/>
  <c r="E1136" i="1"/>
  <c r="A1137" i="1"/>
  <c r="E1137" i="1"/>
  <c r="A1138" i="1"/>
  <c r="E1138" i="1"/>
  <c r="A1139" i="1"/>
  <c r="E1139" i="1"/>
  <c r="A1140" i="1"/>
  <c r="E1140" i="1"/>
  <c r="A1141" i="1"/>
  <c r="E1141" i="1"/>
  <c r="A1142" i="1"/>
  <c r="E1142" i="1"/>
  <c r="A1143" i="1"/>
  <c r="E1143" i="1"/>
  <c r="A1144" i="1"/>
  <c r="E1144" i="1"/>
  <c r="A1145" i="1"/>
  <c r="E1145" i="1"/>
  <c r="A1146" i="1"/>
  <c r="E1146" i="1"/>
  <c r="A1147" i="1"/>
  <c r="E1147" i="1"/>
  <c r="A1148" i="1"/>
  <c r="E1148" i="1"/>
  <c r="A1149" i="1"/>
  <c r="E1149" i="1"/>
  <c r="A1150" i="1"/>
  <c r="E1150" i="1"/>
  <c r="A1151" i="1"/>
  <c r="E1151" i="1"/>
  <c r="A1152" i="1"/>
  <c r="E1152" i="1"/>
  <c r="A1153" i="1"/>
  <c r="E1153" i="1"/>
  <c r="A1154" i="1"/>
  <c r="E1154" i="1"/>
  <c r="E1155" i="1"/>
  <c r="A1156" i="1"/>
  <c r="E1156" i="1"/>
  <c r="A1157" i="1"/>
  <c r="E1157" i="1"/>
  <c r="A1158" i="1"/>
  <c r="E1158" i="1"/>
  <c r="A1159" i="1"/>
  <c r="E1159" i="1"/>
  <c r="E1160" i="1"/>
  <c r="E1161" i="1"/>
  <c r="A1162" i="1"/>
  <c r="E1162" i="1"/>
  <c r="A1163" i="1"/>
  <c r="E1163" i="1"/>
  <c r="A1164" i="1"/>
  <c r="E1164" i="1"/>
  <c r="A1165" i="1"/>
  <c r="E1165" i="1"/>
  <c r="A1166" i="1"/>
  <c r="E1166" i="1"/>
  <c r="A1167" i="1"/>
  <c r="E1167" i="1"/>
  <c r="A1168" i="1"/>
  <c r="E1168" i="1"/>
  <c r="A1169" i="1"/>
  <c r="E1169" i="1"/>
  <c r="A1170" i="1"/>
  <c r="E1170" i="1"/>
  <c r="A1171" i="1"/>
  <c r="E1171" i="1"/>
  <c r="A1172" i="1"/>
  <c r="E1172" i="1"/>
  <c r="A1173" i="1"/>
  <c r="E1173" i="1"/>
  <c r="A1174" i="1"/>
  <c r="E1174" i="1"/>
  <c r="A1175" i="1"/>
  <c r="E1175" i="1"/>
  <c r="A1176" i="1"/>
  <c r="E1176" i="1"/>
  <c r="A1177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A1230" i="1"/>
  <c r="E1230" i="1"/>
  <c r="A1231" i="1"/>
  <c r="E1231" i="1"/>
  <c r="A1232" i="1"/>
  <c r="E1232" i="1"/>
  <c r="A1233" i="1"/>
  <c r="E1233" i="1"/>
  <c r="A1234" i="1"/>
  <c r="E1234" i="1"/>
  <c r="A1235" i="1"/>
  <c r="E1235" i="1"/>
  <c r="A1236" i="1"/>
  <c r="E1236" i="1"/>
  <c r="A1237" i="1"/>
  <c r="E1237" i="1"/>
  <c r="A1238" i="1"/>
  <c r="E1238" i="1"/>
  <c r="A1239" i="1"/>
  <c r="E1239" i="1"/>
  <c r="A1240" i="1"/>
  <c r="E1240" i="1"/>
  <c r="A1241" i="1"/>
  <c r="E1241" i="1"/>
  <c r="A1242" i="1"/>
  <c r="E1242" i="1"/>
  <c r="A1243" i="1"/>
  <c r="E1243" i="1"/>
  <c r="A1244" i="1"/>
  <c r="E1244" i="1"/>
  <c r="A1245" i="1"/>
  <c r="E1245" i="1"/>
  <c r="A1246" i="1"/>
  <c r="E1246" i="1"/>
  <c r="A1247" i="1"/>
  <c r="E1247" i="1"/>
  <c r="A1248" i="1"/>
  <c r="E1248" i="1"/>
  <c r="A1249" i="1"/>
  <c r="E1249" i="1"/>
  <c r="A1250" i="1"/>
  <c r="E1250" i="1"/>
  <c r="A1251" i="1"/>
  <c r="E1251" i="1"/>
  <c r="A1252" i="1"/>
  <c r="E1252" i="1"/>
  <c r="A1253" i="1"/>
  <c r="E1253" i="1"/>
  <c r="A1254" i="1"/>
  <c r="E1254" i="1"/>
  <c r="A1255" i="1"/>
  <c r="E1255" i="1"/>
  <c r="A1256" i="1"/>
  <c r="E1256" i="1"/>
  <c r="A1257" i="1"/>
  <c r="E1257" i="1"/>
  <c r="A1258" i="1"/>
  <c r="E1258" i="1"/>
  <c r="A1259" i="1"/>
  <c r="E1259" i="1"/>
  <c r="E1260" i="1"/>
  <c r="A1261" i="1"/>
  <c r="E1261" i="1"/>
  <c r="E1262" i="1"/>
  <c r="E1263" i="1"/>
  <c r="E1264" i="1"/>
  <c r="E1265" i="1"/>
  <c r="E1266" i="1"/>
  <c r="E1267" i="1"/>
  <c r="E1268" i="1"/>
  <c r="A1269" i="1"/>
  <c r="E1269" i="1"/>
  <c r="A1270" i="1"/>
  <c r="E1270" i="1"/>
  <c r="A1271" i="1"/>
  <c r="E1271" i="1"/>
  <c r="A1272" i="1"/>
  <c r="E1272" i="1"/>
  <c r="A1273" i="1"/>
  <c r="E1273" i="1"/>
  <c r="A1274" i="1"/>
  <c r="E1274" i="1"/>
  <c r="A1275" i="1"/>
  <c r="E1275" i="1"/>
  <c r="E1276" i="1"/>
  <c r="A1277" i="1"/>
  <c r="E1277" i="1"/>
  <c r="A1278" i="1"/>
  <c r="E1278" i="1"/>
  <c r="A1279" i="1"/>
  <c r="E1279" i="1"/>
  <c r="A1280" i="1"/>
  <c r="E1280" i="1"/>
  <c r="A1281" i="1"/>
  <c r="E1281" i="1"/>
  <c r="A1282" i="1"/>
  <c r="E1282" i="1"/>
  <c r="E1283" i="1"/>
  <c r="A1284" i="1"/>
  <c r="E1284" i="1"/>
  <c r="A1285" i="1"/>
  <c r="E1285" i="1"/>
  <c r="A1286" i="1"/>
  <c r="E1286" i="1"/>
  <c r="A1287" i="1"/>
  <c r="E1287" i="1"/>
  <c r="A1288" i="1"/>
  <c r="E1288" i="1"/>
  <c r="A1289" i="1"/>
  <c r="E1289" i="1"/>
  <c r="E1290" i="1"/>
  <c r="A1291" i="1"/>
  <c r="E1291" i="1"/>
  <c r="A1292" i="1"/>
  <c r="E1292" i="1"/>
  <c r="A1293" i="1"/>
  <c r="E1293" i="1"/>
  <c r="A1294" i="1"/>
  <c r="E1294" i="1"/>
  <c r="A1295" i="1"/>
  <c r="E1295" i="1"/>
  <c r="A1296" i="1"/>
  <c r="E1296" i="1"/>
  <c r="A1297" i="1"/>
  <c r="E1297" i="1"/>
  <c r="A1298" i="1"/>
  <c r="E1298" i="1"/>
  <c r="A1299" i="1"/>
  <c r="E1299" i="1"/>
  <c r="A1300" i="1"/>
  <c r="E1300" i="1"/>
  <c r="A1301" i="1"/>
  <c r="E1301" i="1"/>
  <c r="A1302" i="1"/>
  <c r="E1302" i="1"/>
  <c r="A1303" i="1"/>
  <c r="E1303" i="1"/>
  <c r="A1304" i="1"/>
  <c r="E1304" i="1"/>
  <c r="A1305" i="1"/>
  <c r="E1305" i="1"/>
  <c r="A1306" i="1"/>
  <c r="E1306" i="1"/>
  <c r="A1307" i="1"/>
  <c r="E1307" i="1"/>
  <c r="A1308" i="1"/>
  <c r="E1308" i="1"/>
  <c r="A1309" i="1"/>
  <c r="E1309" i="1"/>
  <c r="A1310" i="1"/>
  <c r="E1310" i="1"/>
  <c r="A1311" i="1"/>
  <c r="E1311" i="1"/>
  <c r="E1312" i="1"/>
  <c r="E1313" i="1"/>
  <c r="E1314" i="1"/>
  <c r="E1315" i="1"/>
  <c r="A1316" i="1"/>
  <c r="E1316" i="1"/>
  <c r="E1317" i="1"/>
  <c r="E1318" i="1"/>
  <c r="E1319" i="1"/>
  <c r="E1320" i="1"/>
  <c r="E1321" i="1"/>
  <c r="E1322" i="1"/>
  <c r="E1323" i="1"/>
  <c r="A1324" i="1"/>
  <c r="E1324" i="1"/>
  <c r="A1325" i="1"/>
  <c r="E1325" i="1"/>
  <c r="A1326" i="1"/>
  <c r="E1326" i="1"/>
  <c r="A1327" i="1"/>
  <c r="E1327" i="1"/>
  <c r="A1328" i="1"/>
  <c r="E1328" i="1"/>
  <c r="A1329" i="1"/>
  <c r="E1329" i="1"/>
  <c r="E1330" i="1"/>
  <c r="E1331" i="1"/>
  <c r="A1332" i="1"/>
  <c r="E1332" i="1"/>
  <c r="A1333" i="1"/>
  <c r="E1333" i="1"/>
  <c r="A1334" i="1"/>
  <c r="E1334" i="1"/>
  <c r="A1335" i="1"/>
  <c r="E1335" i="1"/>
  <c r="A1336" i="1"/>
  <c r="E1336" i="1"/>
  <c r="A1337" i="1"/>
  <c r="E1337" i="1"/>
  <c r="A1338" i="1"/>
  <c r="E1338" i="1"/>
  <c r="A1339" i="1"/>
  <c r="E1339" i="1"/>
  <c r="A1340" i="1"/>
  <c r="E1340" i="1"/>
  <c r="A1341" i="1"/>
  <c r="E1341" i="1"/>
  <c r="A1342" i="1"/>
  <c r="E1342" i="1"/>
  <c r="A1343" i="1"/>
  <c r="E1343" i="1"/>
  <c r="A1344" i="1"/>
  <c r="E1344" i="1"/>
  <c r="A1345" i="1"/>
  <c r="E1345" i="1"/>
  <c r="A1346" i="1"/>
  <c r="E1346" i="1"/>
  <c r="A1347" i="1"/>
  <c r="E1347" i="1"/>
  <c r="A1348" i="1"/>
  <c r="E1348" i="1"/>
  <c r="E1349" i="1"/>
  <c r="E1350" i="1"/>
  <c r="A1351" i="1"/>
  <c r="E1351" i="1"/>
  <c r="A1352" i="1"/>
  <c r="E1352" i="1"/>
  <c r="A1353" i="1"/>
  <c r="E1353" i="1"/>
  <c r="A1354" i="1"/>
  <c r="E1354" i="1"/>
  <c r="A1355" i="1"/>
  <c r="E1355" i="1"/>
  <c r="A1356" i="1"/>
  <c r="E1356" i="1"/>
  <c r="A1357" i="1"/>
  <c r="E1357" i="1"/>
  <c r="A1358" i="1"/>
  <c r="E1358" i="1"/>
  <c r="E1359" i="1"/>
  <c r="E1360" i="1"/>
  <c r="A1361" i="1"/>
  <c r="E1361" i="1"/>
  <c r="A1362" i="1"/>
  <c r="E1362" i="1"/>
  <c r="A1363" i="1"/>
  <c r="E1363" i="1"/>
  <c r="A1364" i="1"/>
  <c r="E1364" i="1"/>
  <c r="E1365" i="1"/>
  <c r="E1366" i="1"/>
  <c r="A1367" i="1"/>
  <c r="E1367" i="1"/>
  <c r="A1368" i="1"/>
  <c r="E1368" i="1"/>
  <c r="A1369" i="1"/>
  <c r="E1369" i="1"/>
  <c r="A1370" i="1"/>
  <c r="E1370" i="1"/>
  <c r="A1371" i="1"/>
  <c r="E1371" i="1"/>
  <c r="A1372" i="1"/>
  <c r="E1372" i="1"/>
  <c r="A1373" i="1"/>
  <c r="E1373" i="1"/>
  <c r="A1374" i="1"/>
  <c r="E1374" i="1"/>
  <c r="A1375" i="1"/>
  <c r="E1375" i="1"/>
  <c r="A1376" i="1"/>
  <c r="E1376" i="1"/>
  <c r="A1377" i="1"/>
  <c r="E1377" i="1"/>
  <c r="A1378" i="1"/>
  <c r="E1378" i="1"/>
  <c r="A1379" i="1"/>
  <c r="E1379" i="1"/>
  <c r="E1380" i="1"/>
  <c r="A1381" i="1"/>
  <c r="E1381" i="1"/>
  <c r="E1382" i="1"/>
  <c r="E1383" i="1"/>
  <c r="E1384" i="1"/>
  <c r="E1385" i="1"/>
  <c r="A1386" i="1"/>
  <c r="E1386" i="1"/>
  <c r="A1387" i="1"/>
  <c r="E1387" i="1"/>
  <c r="A1388" i="1"/>
  <c r="E1388" i="1"/>
  <c r="A1389" i="1"/>
  <c r="E1389" i="1"/>
  <c r="A1390" i="1"/>
  <c r="E1390" i="1"/>
  <c r="A1391" i="1"/>
  <c r="E1391" i="1"/>
  <c r="A1392" i="1"/>
  <c r="E1392" i="1"/>
  <c r="A1393" i="1"/>
  <c r="E1393" i="1"/>
  <c r="A1394" i="1"/>
  <c r="E1394" i="1"/>
  <c r="A1395" i="1"/>
  <c r="E1395" i="1"/>
  <c r="A1396" i="1"/>
  <c r="E1396" i="1"/>
  <c r="A1397" i="1"/>
  <c r="E1397" i="1"/>
  <c r="A1398" i="1"/>
  <c r="E1398" i="1"/>
  <c r="A1399" i="1"/>
  <c r="E1399" i="1"/>
  <c r="A1400" i="1"/>
  <c r="E1400" i="1"/>
  <c r="A1401" i="1"/>
  <c r="E1401" i="1"/>
  <c r="A1402" i="1"/>
  <c r="E1402" i="1"/>
  <c r="A1403" i="1"/>
  <c r="E1403" i="1"/>
  <c r="A1404" i="1"/>
  <c r="E1404" i="1"/>
  <c r="A1405" i="1"/>
  <c r="E1405" i="1"/>
  <c r="A1406" i="1"/>
  <c r="E1406" i="1"/>
  <c r="A1407" i="1"/>
  <c r="E1407" i="1"/>
  <c r="A1408" i="1"/>
  <c r="E1408" i="1"/>
  <c r="A1409" i="1"/>
  <c r="E1409" i="1"/>
  <c r="A1410" i="1"/>
  <c r="E1410" i="1"/>
  <c r="A1411" i="1"/>
  <c r="E1411" i="1"/>
  <c r="A1412" i="1"/>
  <c r="E1412" i="1"/>
  <c r="E1413" i="1"/>
  <c r="A1414" i="1"/>
  <c r="E1414" i="1"/>
  <c r="A1415" i="1"/>
  <c r="E1415" i="1"/>
  <c r="A1416" i="1"/>
  <c r="E1416" i="1"/>
  <c r="A1417" i="1"/>
  <c r="E1417" i="1"/>
  <c r="A1418" i="1"/>
  <c r="E1418" i="1"/>
  <c r="A1419" i="1"/>
  <c r="E1419" i="1"/>
  <c r="A1420" i="1"/>
  <c r="E1420" i="1"/>
  <c r="A1421" i="1"/>
  <c r="E1421" i="1"/>
  <c r="A1422" i="1"/>
  <c r="E1422" i="1"/>
  <c r="A1423" i="1"/>
  <c r="E1423" i="1"/>
  <c r="A1424" i="1"/>
  <c r="E1424" i="1"/>
  <c r="A1425" i="1"/>
  <c r="E1425" i="1"/>
  <c r="A1426" i="1"/>
  <c r="E1426" i="1"/>
  <c r="A1427" i="1"/>
  <c r="E1427" i="1"/>
  <c r="A1428" i="1"/>
  <c r="E1428" i="1"/>
  <c r="A1429" i="1"/>
  <c r="E1429" i="1"/>
  <c r="A1430" i="1"/>
  <c r="E1430" i="1"/>
  <c r="A1431" i="1"/>
  <c r="E1431" i="1"/>
  <c r="A1432" i="1"/>
  <c r="E1432" i="1"/>
  <c r="A1433" i="1"/>
  <c r="E1433" i="1"/>
  <c r="A1434" i="1"/>
  <c r="E1434" i="1"/>
  <c r="A1435" i="1"/>
  <c r="E1435" i="1"/>
  <c r="A1436" i="1"/>
  <c r="E1436" i="1"/>
  <c r="A1437" i="1"/>
  <c r="E1437" i="1"/>
  <c r="A1438" i="1"/>
  <c r="E1438" i="1"/>
  <c r="E1439" i="1"/>
  <c r="E1440" i="1"/>
  <c r="A1441" i="1"/>
  <c r="E1441" i="1"/>
  <c r="A1442" i="1"/>
  <c r="E1442" i="1"/>
  <c r="A1443" i="1"/>
  <c r="E1443" i="1"/>
  <c r="A1444" i="1"/>
  <c r="E1444" i="1"/>
  <c r="A1445" i="1"/>
  <c r="E1445" i="1"/>
  <c r="A1446" i="1"/>
  <c r="E1446" i="1"/>
  <c r="A1447" i="1"/>
  <c r="E1447" i="1"/>
  <c r="A1448" i="1"/>
  <c r="E1448" i="1"/>
  <c r="A1449" i="1"/>
  <c r="E1449" i="1"/>
  <c r="A1450" i="1"/>
  <c r="E1450" i="1"/>
  <c r="A1451" i="1"/>
  <c r="E1451" i="1"/>
  <c r="A1452" i="1"/>
  <c r="E1452" i="1"/>
  <c r="A1453" i="1"/>
  <c r="E1453" i="1"/>
  <c r="A1454" i="1"/>
  <c r="E1454" i="1"/>
  <c r="A1455" i="1"/>
  <c r="E1455" i="1"/>
  <c r="A1456" i="1"/>
  <c r="E1456" i="1"/>
  <c r="A1457" i="1"/>
  <c r="E1457" i="1"/>
  <c r="A1458" i="1"/>
  <c r="E1458" i="1"/>
  <c r="A1459" i="1"/>
  <c r="E1459" i="1"/>
  <c r="A1460" i="1"/>
  <c r="E1460" i="1"/>
  <c r="A1461" i="1"/>
  <c r="E1461" i="1"/>
  <c r="A1462" i="1"/>
  <c r="E1462" i="1"/>
  <c r="A1463" i="1"/>
  <c r="E1463" i="1"/>
  <c r="A1464" i="1"/>
  <c r="E1464" i="1"/>
  <c r="A1465" i="1"/>
  <c r="E1465" i="1"/>
  <c r="A1466" i="1"/>
  <c r="E1466" i="1"/>
  <c r="A1467" i="1"/>
  <c r="E1467" i="1"/>
  <c r="A1468" i="1"/>
  <c r="E1468" i="1"/>
  <c r="A1469" i="1"/>
  <c r="E1469" i="1"/>
  <c r="A1470" i="1"/>
  <c r="E1470" i="1"/>
  <c r="E1471" i="1"/>
  <c r="A1472" i="1"/>
  <c r="E1472" i="1"/>
  <c r="A1473" i="1"/>
  <c r="E1473" i="1"/>
  <c r="A1474" i="1"/>
  <c r="E1474" i="1"/>
  <c r="A1475" i="1"/>
  <c r="E1475" i="1"/>
  <c r="A1476" i="1"/>
  <c r="E1476" i="1"/>
  <c r="A1477" i="1"/>
  <c r="E1477" i="1"/>
  <c r="A1478" i="1"/>
  <c r="E1478" i="1"/>
  <c r="A1479" i="1"/>
  <c r="E1479" i="1"/>
  <c r="A1480" i="1"/>
  <c r="E1480" i="1"/>
  <c r="A1481" i="1"/>
  <c r="E1481" i="1"/>
  <c r="A1482" i="1"/>
  <c r="E1482" i="1"/>
  <c r="A1483" i="1"/>
  <c r="E1483" i="1"/>
  <c r="A1484" i="1"/>
  <c r="E1484" i="1"/>
  <c r="A1485" i="1"/>
  <c r="E1485" i="1"/>
  <c r="A1486" i="1"/>
  <c r="E1486" i="1"/>
  <c r="A1487" i="1"/>
  <c r="E1487" i="1"/>
  <c r="E1488" i="1"/>
  <c r="E1489" i="1"/>
  <c r="E1490" i="1"/>
  <c r="A1491" i="1"/>
  <c r="E1491" i="1"/>
  <c r="A1492" i="1"/>
  <c r="E1492" i="1"/>
  <c r="A1493" i="1"/>
  <c r="E1493" i="1"/>
  <c r="A1494" i="1"/>
  <c r="E1494" i="1"/>
  <c r="A1495" i="1"/>
  <c r="E1495" i="1"/>
  <c r="E1496" i="1"/>
  <c r="A1497" i="1"/>
  <c r="E1497" i="1"/>
  <c r="A1498" i="1"/>
  <c r="E1498" i="1"/>
  <c r="A1499" i="1"/>
  <c r="E1499" i="1"/>
  <c r="A1500" i="1"/>
  <c r="E1500" i="1"/>
  <c r="A1501" i="1"/>
  <c r="E1501" i="1"/>
  <c r="A1502" i="1"/>
  <c r="E1502" i="1"/>
  <c r="A1503" i="1"/>
  <c r="E1503" i="1"/>
  <c r="A1504" i="1"/>
  <c r="E1504" i="1"/>
  <c r="A1505" i="1"/>
  <c r="E1505" i="1"/>
  <c r="A1506" i="1"/>
  <c r="E1506" i="1"/>
  <c r="A1507" i="1"/>
  <c r="E1507" i="1"/>
  <c r="A1508" i="1"/>
  <c r="E1508" i="1"/>
  <c r="A1509" i="1"/>
  <c r="E1509" i="1"/>
  <c r="A1510" i="1"/>
  <c r="E1510" i="1"/>
  <c r="A1511" i="1"/>
  <c r="E1511" i="1"/>
  <c r="A1512" i="1"/>
  <c r="E1512" i="1"/>
  <c r="A1513" i="1"/>
  <c r="E1513" i="1"/>
  <c r="A1514" i="1"/>
  <c r="E1514" i="1"/>
  <c r="A1515" i="1"/>
  <c r="E1515" i="1"/>
  <c r="A1516" i="1"/>
  <c r="E1516" i="1"/>
  <c r="A1517" i="1"/>
  <c r="E1517" i="1"/>
  <c r="A1518" i="1"/>
  <c r="E1518" i="1"/>
  <c r="A1519" i="1"/>
  <c r="E1519" i="1"/>
  <c r="A1520" i="1"/>
  <c r="E1520" i="1"/>
  <c r="A1521" i="1"/>
  <c r="E1521" i="1"/>
  <c r="A1522" i="1"/>
  <c r="E1522" i="1"/>
  <c r="A1523" i="1"/>
  <c r="E1523" i="1"/>
  <c r="A1524" i="1"/>
  <c r="E1524" i="1"/>
  <c r="A1525" i="1"/>
  <c r="E1525" i="1"/>
  <c r="A1526" i="1"/>
  <c r="E1526" i="1"/>
  <c r="A1527" i="1"/>
  <c r="E1527" i="1"/>
  <c r="A1528" i="1"/>
  <c r="E1528" i="1"/>
  <c r="A1529" i="1"/>
  <c r="E1529" i="1"/>
  <c r="A1530" i="1"/>
  <c r="E1530" i="1"/>
  <c r="A1531" i="1"/>
  <c r="E1531" i="1"/>
  <c r="E1532" i="1"/>
  <c r="E1533" i="1"/>
  <c r="E1534" i="1"/>
  <c r="E1535" i="1"/>
  <c r="E1536" i="1"/>
  <c r="A1537" i="1"/>
  <c r="E1537" i="1"/>
  <c r="A1538" i="1"/>
  <c r="E1538" i="1"/>
  <c r="A1539" i="1"/>
  <c r="E1539" i="1"/>
  <c r="A1540" i="1"/>
  <c r="E1540" i="1"/>
  <c r="A1541" i="1"/>
  <c r="E1541" i="1"/>
  <c r="A1542" i="1"/>
  <c r="E1542" i="1"/>
  <c r="A1543" i="1"/>
  <c r="E1543" i="1"/>
  <c r="A1544" i="1"/>
  <c r="E1544" i="1"/>
  <c r="A1545" i="1"/>
  <c r="E1545" i="1"/>
  <c r="E1546" i="1"/>
  <c r="E1547" i="1"/>
  <c r="E1548" i="1"/>
  <c r="A1549" i="1"/>
  <c r="E1549" i="1"/>
  <c r="A1550" i="1"/>
  <c r="E1550" i="1"/>
  <c r="A1551" i="1"/>
  <c r="E1551" i="1"/>
  <c r="A1552" i="1"/>
  <c r="E1552" i="1"/>
  <c r="A1553" i="1"/>
  <c r="E1553" i="1"/>
  <c r="E1554" i="1"/>
  <c r="A1555" i="1"/>
  <c r="E1555" i="1"/>
  <c r="A1556" i="1"/>
  <c r="E1556" i="1"/>
  <c r="A1557" i="1"/>
  <c r="E1557" i="1"/>
  <c r="A1558" i="1"/>
  <c r="E1558" i="1"/>
  <c r="E1559" i="1"/>
  <c r="A1560" i="1"/>
  <c r="E1560" i="1"/>
  <c r="A1561" i="1"/>
  <c r="E1561" i="1"/>
  <c r="A1562" i="1"/>
  <c r="E1562" i="1"/>
  <c r="A1563" i="1"/>
  <c r="E1563" i="1"/>
  <c r="A1564" i="1"/>
  <c r="E1564" i="1"/>
  <c r="A1565" i="1"/>
  <c r="E1565" i="1"/>
  <c r="A1566" i="1"/>
  <c r="E1566" i="1"/>
  <c r="E1567" i="1"/>
  <c r="E1568" i="1"/>
  <c r="A1569" i="1"/>
  <c r="E1569" i="1"/>
  <c r="A1570" i="1"/>
  <c r="E1570" i="1"/>
  <c r="A1571" i="1"/>
  <c r="E1571" i="1"/>
  <c r="A1572" i="1"/>
  <c r="E1572" i="1"/>
  <c r="A1573" i="1"/>
  <c r="E1573" i="1"/>
  <c r="E1574" i="1"/>
  <c r="A1575" i="1"/>
  <c r="E1575" i="1"/>
  <c r="A1576" i="1"/>
  <c r="E1576" i="1"/>
  <c r="A1577" i="1"/>
  <c r="E1577" i="1"/>
  <c r="A1578" i="1"/>
  <c r="E1578" i="1"/>
  <c r="A1579" i="1"/>
  <c r="E1579" i="1"/>
  <c r="A1580" i="1"/>
  <c r="E1580" i="1"/>
  <c r="A1581" i="1"/>
  <c r="E1581" i="1"/>
  <c r="E1582" i="1"/>
  <c r="E1583" i="1"/>
  <c r="A1584" i="1"/>
  <c r="E1584" i="1"/>
  <c r="A1585" i="1"/>
  <c r="E1585" i="1"/>
  <c r="A1586" i="1"/>
  <c r="E1586" i="1"/>
  <c r="A1587" i="1"/>
  <c r="E1587" i="1"/>
  <c r="A1588" i="1"/>
  <c r="E1588" i="1"/>
  <c r="A1589" i="1"/>
  <c r="E1589" i="1"/>
  <c r="A1590" i="1"/>
  <c r="E1590" i="1"/>
  <c r="A1591" i="1"/>
  <c r="E1591" i="1"/>
  <c r="A1592" i="1"/>
  <c r="E1592" i="1"/>
  <c r="A1593" i="1"/>
  <c r="E1593" i="1"/>
  <c r="A1594" i="1"/>
  <c r="E1594" i="1"/>
  <c r="A1595" i="1"/>
  <c r="E1595" i="1"/>
  <c r="A1596" i="1"/>
  <c r="E1596" i="1"/>
  <c r="A1597" i="1"/>
  <c r="E1597" i="1"/>
  <c r="A1598" i="1"/>
  <c r="E1598" i="1"/>
  <c r="A1599" i="1"/>
  <c r="E1599" i="1"/>
  <c r="A1600" i="1"/>
  <c r="E1600" i="1"/>
  <c r="A1601" i="1"/>
  <c r="E1601" i="1"/>
  <c r="A1602" i="1"/>
  <c r="E1602" i="1"/>
  <c r="A1603" i="1"/>
  <c r="E1603" i="1"/>
  <c r="A1604" i="1"/>
  <c r="E1604" i="1"/>
  <c r="A1605" i="1"/>
  <c r="E1605" i="1"/>
  <c r="A1606" i="1"/>
  <c r="E1606" i="1"/>
  <c r="E1607" i="1"/>
  <c r="E1608" i="1"/>
  <c r="A1609" i="1"/>
  <c r="E1609" i="1"/>
  <c r="A1610" i="1"/>
  <c r="E1610" i="1"/>
  <c r="A1611" i="1"/>
  <c r="E1611" i="1"/>
  <c r="A1612" i="1"/>
  <c r="E1612" i="1"/>
  <c r="A1613" i="1"/>
  <c r="E1613" i="1"/>
  <c r="A1614" i="1"/>
  <c r="E1614" i="1"/>
  <c r="E1615" i="1"/>
  <c r="E1616" i="1"/>
  <c r="A1617" i="1"/>
  <c r="E1617" i="1"/>
  <c r="A1618" i="1"/>
  <c r="E1618" i="1"/>
  <c r="A1619" i="1"/>
  <c r="E1619" i="1"/>
  <c r="A1620" i="1"/>
  <c r="E1620" i="1"/>
  <c r="A1621" i="1"/>
  <c r="E1621" i="1"/>
  <c r="A1622" i="1"/>
  <c r="E1622" i="1"/>
  <c r="A1623" i="1"/>
  <c r="E1623" i="1"/>
  <c r="A1624" i="1"/>
  <c r="E1624" i="1"/>
  <c r="A1625" i="1"/>
  <c r="E1625" i="1"/>
  <c r="A1626" i="1"/>
  <c r="E1626" i="1"/>
  <c r="A1627" i="1"/>
  <c r="E1627" i="1"/>
  <c r="A1628" i="1"/>
  <c r="E1628" i="1"/>
  <c r="A1629" i="1"/>
  <c r="E1629" i="1"/>
  <c r="A1630" i="1"/>
  <c r="E1630" i="1"/>
  <c r="A1631" i="1"/>
  <c r="E1631" i="1"/>
  <c r="A1632" i="1"/>
  <c r="E1632" i="1"/>
  <c r="A1633" i="1"/>
  <c r="E1633" i="1"/>
  <c r="A1634" i="1"/>
  <c r="E1634" i="1"/>
  <c r="A1635" i="1"/>
  <c r="E1635" i="1"/>
  <c r="A1636" i="1"/>
  <c r="E1636" i="1"/>
  <c r="A1637" i="1"/>
  <c r="E1637" i="1"/>
  <c r="A1638" i="1"/>
  <c r="E1638" i="1"/>
  <c r="A1639" i="1"/>
  <c r="E1639" i="1"/>
  <c r="A1640" i="1"/>
  <c r="E1640" i="1"/>
  <c r="A1641" i="1"/>
  <c r="E1641" i="1"/>
  <c r="A1642" i="1"/>
  <c r="E1642" i="1"/>
  <c r="A1643" i="1"/>
  <c r="E1643" i="1"/>
  <c r="A1644" i="1"/>
  <c r="E1644" i="1"/>
  <c r="A1645" i="1"/>
  <c r="E1645" i="1"/>
  <c r="A1646" i="1"/>
  <c r="E1646" i="1"/>
  <c r="A1647" i="1"/>
  <c r="E1647" i="1"/>
  <c r="A1648" i="1"/>
  <c r="E1648" i="1"/>
  <c r="A1649" i="1"/>
  <c r="E1649" i="1"/>
  <c r="A1650" i="1"/>
  <c r="E1650" i="1"/>
  <c r="A1651" i="1"/>
  <c r="E1651" i="1"/>
  <c r="A1652" i="1"/>
  <c r="E1652" i="1"/>
  <c r="A1653" i="1"/>
  <c r="E1653" i="1"/>
  <c r="A1654" i="1"/>
  <c r="E1654" i="1"/>
  <c r="A1655" i="1"/>
  <c r="E1655" i="1"/>
  <c r="A1656" i="1"/>
  <c r="E1656" i="1"/>
  <c r="A1657" i="1"/>
  <c r="E1657" i="1"/>
  <c r="A1658" i="1"/>
  <c r="E1658" i="1"/>
  <c r="A1659" i="1"/>
  <c r="E1659" i="1"/>
  <c r="A1660" i="1"/>
  <c r="E1660" i="1"/>
  <c r="A1661" i="1"/>
  <c r="E1661" i="1"/>
  <c r="A1662" i="1"/>
  <c r="E1662" i="1"/>
  <c r="A1663" i="1"/>
  <c r="E1663" i="1"/>
  <c r="A1664" i="1"/>
  <c r="E1664" i="1"/>
  <c r="A1665" i="1"/>
  <c r="E1665" i="1"/>
  <c r="A1666" i="1"/>
  <c r="E1666" i="1"/>
  <c r="A1667" i="1"/>
  <c r="E1667" i="1"/>
  <c r="A1668" i="1"/>
  <c r="E1668" i="1"/>
  <c r="A1669" i="1"/>
  <c r="E1669" i="1"/>
  <c r="A1670" i="1"/>
  <c r="E1670" i="1"/>
  <c r="A1671" i="1"/>
  <c r="E1671" i="1"/>
  <c r="A1672" i="1"/>
  <c r="E1672" i="1"/>
  <c r="A1673" i="1"/>
  <c r="E1673" i="1"/>
  <c r="A1674" i="1"/>
  <c r="E1674" i="1"/>
  <c r="A1675" i="1"/>
  <c r="E1675" i="1"/>
  <c r="A1676" i="1"/>
  <c r="E1676" i="1"/>
  <c r="A1677" i="1"/>
  <c r="E1677" i="1"/>
  <c r="A1678" i="1"/>
  <c r="E1678" i="1"/>
  <c r="A1679" i="1"/>
  <c r="E1679" i="1"/>
  <c r="A1680" i="1"/>
  <c r="E1680" i="1"/>
  <c r="A1681" i="1"/>
  <c r="E1681" i="1"/>
  <c r="A1682" i="1"/>
  <c r="E1682" i="1"/>
  <c r="A1683" i="1"/>
  <c r="E1683" i="1"/>
  <c r="A1684" i="1"/>
  <c r="E1684" i="1"/>
  <c r="A1685" i="1"/>
  <c r="E1685" i="1"/>
  <c r="A1686" i="1"/>
  <c r="E1686" i="1"/>
  <c r="A1687" i="1"/>
  <c r="E1687" i="1"/>
  <c r="A1688" i="1"/>
  <c r="E1688" i="1"/>
  <c r="A1689" i="1"/>
  <c r="E1689" i="1"/>
  <c r="A1690" i="1"/>
  <c r="E1690" i="1"/>
  <c r="A1691" i="1"/>
  <c r="E1691" i="1"/>
  <c r="A1692" i="1"/>
  <c r="E1692" i="1"/>
  <c r="A1693" i="1"/>
  <c r="E1693" i="1"/>
  <c r="A1694" i="1"/>
  <c r="E1694" i="1"/>
  <c r="A1695" i="1"/>
  <c r="E1695" i="1"/>
  <c r="A1696" i="1"/>
  <c r="E1696" i="1"/>
  <c r="E1697" i="1"/>
  <c r="E1698" i="1"/>
  <c r="E1699" i="1"/>
  <c r="E1700" i="1"/>
  <c r="E1701" i="1"/>
  <c r="E1702" i="1"/>
  <c r="E1703" i="1"/>
  <c r="A1704" i="1"/>
  <c r="E1704" i="1"/>
  <c r="A1705" i="1"/>
  <c r="E1705" i="1"/>
  <c r="A1706" i="1"/>
  <c r="E1706" i="1"/>
  <c r="A1707" i="1"/>
  <c r="E1707" i="1"/>
  <c r="A1708" i="1"/>
  <c r="E1708" i="1"/>
  <c r="A1709" i="1"/>
  <c r="E1709" i="1"/>
  <c r="A1710" i="1"/>
  <c r="E1710" i="1"/>
  <c r="A1711" i="1"/>
  <c r="E1711" i="1"/>
  <c r="A1712" i="1"/>
  <c r="E1712" i="1"/>
  <c r="A1713" i="1"/>
  <c r="E1713" i="1"/>
  <c r="A1714" i="1"/>
  <c r="E1714" i="1"/>
  <c r="A1715" i="1"/>
  <c r="E1715" i="1"/>
  <c r="A1716" i="1"/>
  <c r="E1716" i="1"/>
  <c r="A1717" i="1"/>
  <c r="E1717" i="1"/>
  <c r="A1718" i="1"/>
  <c r="E1718" i="1"/>
  <c r="A1719" i="1"/>
  <c r="E1719" i="1"/>
  <c r="A1720" i="1"/>
  <c r="E1720" i="1"/>
  <c r="A1721" i="1"/>
  <c r="E1721" i="1"/>
  <c r="A1722" i="1"/>
  <c r="E1722" i="1"/>
  <c r="A1723" i="1"/>
  <c r="E1723" i="1"/>
  <c r="A1724" i="1"/>
  <c r="E1724" i="1"/>
  <c r="A1725" i="1"/>
  <c r="E1725" i="1"/>
  <c r="A1726" i="1"/>
  <c r="E1726" i="1"/>
  <c r="E1727" i="1"/>
  <c r="A1728" i="1"/>
  <c r="E1728" i="1"/>
  <c r="A1729" i="1"/>
  <c r="E1729" i="1"/>
  <c r="A1730" i="1"/>
  <c r="E1730" i="1"/>
  <c r="A1731" i="1"/>
  <c r="E1731" i="1"/>
  <c r="A1732" i="1"/>
  <c r="E1732" i="1"/>
  <c r="A1733" i="1"/>
  <c r="E1733" i="1"/>
  <c r="A1734" i="1"/>
  <c r="E1734" i="1"/>
  <c r="A1735" i="1"/>
  <c r="E1735" i="1"/>
  <c r="A1736" i="1"/>
  <c r="E1736" i="1"/>
  <c r="A1737" i="1"/>
  <c r="E1737" i="1"/>
  <c r="A1738" i="1"/>
  <c r="E1738" i="1"/>
  <c r="A1739" i="1"/>
  <c r="E1739" i="1"/>
  <c r="A1740" i="1"/>
  <c r="E1740" i="1"/>
  <c r="E1741" i="1"/>
  <c r="A1742" i="1"/>
  <c r="E1742" i="1"/>
  <c r="A1743" i="1"/>
  <c r="E1743" i="1"/>
  <c r="A1744" i="1"/>
  <c r="E1744" i="1"/>
  <c r="A1745" i="1"/>
  <c r="E1745" i="1"/>
  <c r="A1746" i="1"/>
  <c r="E1746" i="1"/>
  <c r="A1747" i="1"/>
  <c r="E1747" i="1"/>
  <c r="A1748" i="1"/>
  <c r="E1748" i="1"/>
  <c r="E1749" i="1"/>
  <c r="A1750" i="1"/>
  <c r="E1750" i="1"/>
  <c r="A1751" i="1"/>
  <c r="E1751" i="1"/>
  <c r="A1752" i="1"/>
  <c r="E1752" i="1"/>
  <c r="A1753" i="1"/>
  <c r="E1753" i="1"/>
  <c r="A1754" i="1"/>
  <c r="E1754" i="1"/>
  <c r="A1755" i="1"/>
  <c r="E1755" i="1"/>
  <c r="A1756" i="1"/>
  <c r="E1756" i="1"/>
  <c r="A1757" i="1"/>
  <c r="E1757" i="1"/>
  <c r="A1758" i="1"/>
  <c r="E1758" i="1"/>
  <c r="A1759" i="1"/>
  <c r="E1759" i="1"/>
  <c r="A1760" i="1"/>
  <c r="E1760" i="1"/>
  <c r="A1761" i="1"/>
  <c r="E1761" i="1"/>
  <c r="A1762" i="1"/>
  <c r="E1762" i="1"/>
  <c r="A1763" i="1"/>
  <c r="E1763" i="1"/>
  <c r="A1764" i="1"/>
  <c r="E1764" i="1"/>
  <c r="A1765" i="1"/>
  <c r="E1765" i="1"/>
  <c r="A1766" i="1"/>
  <c r="E1766" i="1"/>
  <c r="A1767" i="1"/>
  <c r="E1767" i="1"/>
  <c r="A1768" i="1"/>
  <c r="E1768" i="1"/>
  <c r="A1769" i="1"/>
  <c r="E1769" i="1"/>
  <c r="A1770" i="1"/>
  <c r="E1770" i="1"/>
  <c r="A1771" i="1"/>
  <c r="E1771" i="1"/>
  <c r="A1772" i="1"/>
  <c r="E1772" i="1"/>
  <c r="A1773" i="1"/>
  <c r="E1773" i="1"/>
  <c r="A1774" i="1"/>
  <c r="E1774" i="1"/>
  <c r="A1775" i="1"/>
  <c r="E1775" i="1"/>
  <c r="A1776" i="1"/>
  <c r="E1776" i="1"/>
  <c r="A1777" i="1"/>
  <c r="E1777" i="1"/>
  <c r="A1778" i="1"/>
  <c r="E1778" i="1"/>
  <c r="A1779" i="1"/>
  <c r="E1779" i="1"/>
  <c r="A1780" i="1"/>
  <c r="E1780" i="1"/>
  <c r="A1781" i="1"/>
  <c r="E1781" i="1"/>
  <c r="A1782" i="1"/>
  <c r="E1782" i="1"/>
  <c r="A1783" i="1"/>
  <c r="E1783" i="1"/>
  <c r="A1784" i="1"/>
  <c r="E1784" i="1"/>
  <c r="A1785" i="1"/>
  <c r="E1785" i="1"/>
  <c r="A1786" i="1"/>
  <c r="E1786" i="1"/>
  <c r="A1787" i="1"/>
  <c r="E1787" i="1"/>
  <c r="E1788" i="1"/>
  <c r="E1789" i="1"/>
  <c r="A1790" i="1"/>
  <c r="E1790" i="1"/>
  <c r="A1791" i="1"/>
  <c r="E1791" i="1"/>
  <c r="A1792" i="1"/>
  <c r="E1792" i="1"/>
  <c r="A1793" i="1"/>
  <c r="E1793" i="1"/>
  <c r="A1794" i="1"/>
  <c r="E1794" i="1"/>
  <c r="A1795" i="1"/>
  <c r="E1795" i="1"/>
  <c r="A1796" i="1"/>
  <c r="E1796" i="1"/>
  <c r="A1797" i="1"/>
  <c r="E1797" i="1"/>
  <c r="A1798" i="1"/>
  <c r="E1798" i="1"/>
  <c r="A1799" i="1"/>
  <c r="E1799" i="1"/>
  <c r="A1800" i="1"/>
  <c r="E1800" i="1"/>
  <c r="A1801" i="1"/>
  <c r="E1801" i="1"/>
  <c r="A1802" i="1"/>
  <c r="E1802" i="1"/>
  <c r="A1803" i="1"/>
  <c r="E1803" i="1"/>
  <c r="A1804" i="1"/>
  <c r="E1804" i="1"/>
  <c r="A1805" i="1"/>
  <c r="E1805" i="1"/>
  <c r="A1806" i="1"/>
  <c r="E1806" i="1"/>
  <c r="A1807" i="1"/>
  <c r="E1807" i="1"/>
  <c r="A1808" i="1"/>
  <c r="E1808" i="1"/>
  <c r="E1809" i="1"/>
  <c r="A1810" i="1"/>
  <c r="E1810" i="1"/>
  <c r="A1811" i="1"/>
  <c r="E1811" i="1"/>
  <c r="A1812" i="1"/>
  <c r="E1812" i="1"/>
  <c r="A1813" i="1"/>
  <c r="E1813" i="1"/>
  <c r="A1814" i="1"/>
  <c r="E1814" i="1"/>
  <c r="A1815" i="1"/>
  <c r="E1815" i="1"/>
  <c r="A1816" i="1"/>
  <c r="E1816" i="1"/>
  <c r="A1817" i="1"/>
  <c r="E1817" i="1"/>
  <c r="A1818" i="1"/>
  <c r="E1818" i="1"/>
  <c r="A1819" i="1"/>
  <c r="E1819" i="1"/>
  <c r="A1820" i="1"/>
  <c r="E1820" i="1"/>
  <c r="A1821" i="1"/>
  <c r="E1821" i="1"/>
  <c r="A1822" i="1"/>
  <c r="E1822" i="1"/>
  <c r="A1823" i="1"/>
  <c r="E1823" i="1"/>
  <c r="A1824" i="1"/>
  <c r="E1824" i="1"/>
  <c r="A1825" i="1"/>
  <c r="E1825" i="1"/>
  <c r="A1826" i="1"/>
  <c r="E1826" i="1"/>
  <c r="E1827" i="1"/>
  <c r="A1828" i="1"/>
  <c r="E1828" i="1"/>
  <c r="A1829" i="1"/>
  <c r="E1829" i="1"/>
  <c r="A1830" i="1"/>
  <c r="E1830" i="1"/>
  <c r="A1831" i="1"/>
  <c r="E1831" i="1"/>
  <c r="A1832" i="1"/>
  <c r="E1832" i="1"/>
  <c r="A1833" i="1"/>
  <c r="E1833" i="1"/>
  <c r="A1834" i="1"/>
  <c r="E1834" i="1"/>
  <c r="E1835" i="1"/>
  <c r="E1836" i="1"/>
  <c r="A1837" i="1"/>
  <c r="E1837" i="1"/>
  <c r="A1838" i="1"/>
  <c r="E1838" i="1"/>
  <c r="A1839" i="1"/>
  <c r="E1839" i="1"/>
  <c r="A1840" i="1"/>
  <c r="E1840" i="1"/>
  <c r="A1841" i="1"/>
  <c r="E1841" i="1"/>
  <c r="A1842" i="1"/>
  <c r="E1842" i="1"/>
  <c r="A1843" i="1"/>
  <c r="E1843" i="1"/>
  <c r="A1844" i="1"/>
  <c r="E1844" i="1"/>
  <c r="A1845" i="1"/>
  <c r="E1845" i="1"/>
  <c r="A1846" i="1"/>
  <c r="E1846" i="1"/>
  <c r="A1847" i="1"/>
  <c r="E1847" i="1"/>
  <c r="A1848" i="1"/>
  <c r="E1848" i="1"/>
  <c r="A1849" i="1"/>
  <c r="E1849" i="1"/>
  <c r="A1850" i="1"/>
  <c r="E1850" i="1"/>
  <c r="A1851" i="1"/>
  <c r="E1851" i="1"/>
  <c r="A1852" i="1"/>
  <c r="E1852" i="1"/>
  <c r="A1853" i="1"/>
  <c r="E1853" i="1"/>
  <c r="A1854" i="1"/>
  <c r="E1854" i="1"/>
  <c r="A1855" i="1"/>
  <c r="E1855" i="1"/>
  <c r="A1856" i="1"/>
  <c r="E1856" i="1"/>
  <c r="A1857" i="1"/>
  <c r="E1857" i="1"/>
  <c r="A1858" i="1"/>
  <c r="E1858" i="1"/>
  <c r="A1859" i="1"/>
  <c r="E1859" i="1"/>
  <c r="A1860" i="1"/>
  <c r="E1860" i="1"/>
  <c r="A1861" i="1"/>
  <c r="E1861" i="1"/>
  <c r="A1862" i="1"/>
  <c r="E1862" i="1"/>
  <c r="A1863" i="1"/>
  <c r="E1863" i="1"/>
  <c r="A1864" i="1"/>
  <c r="E1864" i="1"/>
  <c r="E1865" i="1"/>
  <c r="E1866" i="1"/>
  <c r="E1867" i="1"/>
  <c r="A1868" i="1"/>
  <c r="E1868" i="1"/>
  <c r="A1869" i="1"/>
  <c r="E1869" i="1"/>
  <c r="A1870" i="1"/>
  <c r="E1870" i="1"/>
  <c r="A1871" i="1"/>
  <c r="E1871" i="1"/>
  <c r="A1872" i="1"/>
  <c r="E1872" i="1"/>
  <c r="A1873" i="1"/>
  <c r="E1873" i="1"/>
  <c r="A1874" i="1"/>
  <c r="E1874" i="1"/>
  <c r="A1875" i="1"/>
  <c r="E1875" i="1"/>
  <c r="A1876" i="1"/>
  <c r="E1876" i="1"/>
  <c r="A1877" i="1"/>
  <c r="E1877" i="1"/>
  <c r="A1878" i="1"/>
  <c r="E1878" i="1"/>
  <c r="A1879" i="1"/>
  <c r="E1879" i="1"/>
  <c r="A1880" i="1"/>
  <c r="E1880" i="1"/>
  <c r="A1881" i="1"/>
  <c r="E1881" i="1"/>
  <c r="A1882" i="1"/>
  <c r="E1882" i="1"/>
  <c r="A1883" i="1"/>
  <c r="E1883" i="1"/>
  <c r="A1884" i="1"/>
  <c r="E1884" i="1"/>
  <c r="A1885" i="1"/>
  <c r="E1885" i="1"/>
  <c r="A1886" i="1"/>
  <c r="E1886" i="1"/>
  <c r="A1887" i="1"/>
  <c r="E1887" i="1"/>
  <c r="A1888" i="1"/>
  <c r="E1888" i="1"/>
  <c r="A1889" i="1"/>
  <c r="E1889" i="1"/>
  <c r="A1890" i="1"/>
  <c r="E1890" i="1"/>
  <c r="A1891" i="1"/>
  <c r="E1891" i="1"/>
  <c r="A1892" i="1"/>
  <c r="E1892" i="1"/>
  <c r="A1893" i="1"/>
  <c r="E1893" i="1"/>
  <c r="E1894" i="1"/>
  <c r="E1895" i="1"/>
  <c r="E1896" i="1"/>
  <c r="E1897" i="1"/>
  <c r="A1898" i="1"/>
  <c r="E1898" i="1"/>
  <c r="A1899" i="1"/>
  <c r="E1899" i="1"/>
  <c r="A1900" i="1"/>
  <c r="E1900" i="1"/>
  <c r="A1901" i="1"/>
  <c r="E1901" i="1"/>
  <c r="A1902" i="1"/>
  <c r="E1902" i="1"/>
  <c r="A1903" i="1"/>
  <c r="E1903" i="1"/>
  <c r="A1904" i="1"/>
  <c r="E1904" i="1"/>
  <c r="A1905" i="1"/>
  <c r="E1905" i="1"/>
  <c r="A1906" i="1"/>
  <c r="E1906" i="1"/>
  <c r="A1907" i="1"/>
  <c r="E1907" i="1"/>
  <c r="A1908" i="1"/>
  <c r="E1908" i="1"/>
  <c r="A1909" i="1"/>
  <c r="E1909" i="1"/>
  <c r="A1910" i="1"/>
  <c r="E1910" i="1"/>
  <c r="A1911" i="1"/>
  <c r="E1911" i="1"/>
  <c r="A1912" i="1"/>
  <c r="E1912" i="1"/>
  <c r="A1913" i="1"/>
  <c r="E1913" i="1"/>
  <c r="E1914" i="1"/>
  <c r="A1915" i="1"/>
  <c r="E1915" i="1"/>
  <c r="A1916" i="1"/>
  <c r="E1916" i="1"/>
  <c r="A1917" i="1"/>
  <c r="E1917" i="1"/>
  <c r="A1918" i="1"/>
  <c r="E1918" i="1"/>
  <c r="A1919" i="1"/>
  <c r="E1919" i="1"/>
  <c r="A1920" i="1"/>
  <c r="E1920" i="1"/>
  <c r="A1921" i="1"/>
  <c r="E1921" i="1"/>
  <c r="A1922" i="1"/>
  <c r="E1922" i="1"/>
  <c r="A1923" i="1"/>
  <c r="E1923" i="1"/>
  <c r="A1924" i="1"/>
  <c r="E1924" i="1"/>
  <c r="A1925" i="1"/>
  <c r="E1925" i="1"/>
  <c r="A1926" i="1"/>
  <c r="E1926" i="1"/>
  <c r="A1927" i="1"/>
  <c r="E1927" i="1"/>
  <c r="A1928" i="1"/>
  <c r="E1928" i="1"/>
  <c r="A1929" i="1"/>
  <c r="E1929" i="1"/>
  <c r="A1930" i="1"/>
  <c r="E1930" i="1"/>
  <c r="A1931" i="1"/>
  <c r="E1931" i="1"/>
  <c r="A1932" i="1"/>
  <c r="E1932" i="1"/>
  <c r="A1933" i="1"/>
  <c r="E1933" i="1"/>
  <c r="A1934" i="1"/>
  <c r="E1934" i="1"/>
  <c r="A1935" i="1"/>
  <c r="E1935" i="1"/>
  <c r="A1936" i="1"/>
  <c r="E1936" i="1"/>
  <c r="E1937" i="1"/>
  <c r="E1938" i="1"/>
  <c r="E1939" i="1"/>
  <c r="E1940" i="1"/>
  <c r="A1941" i="1"/>
  <c r="E1941" i="1"/>
  <c r="A1942" i="1"/>
  <c r="E1942" i="1"/>
  <c r="A1943" i="1"/>
  <c r="E1943" i="1"/>
  <c r="A1944" i="1"/>
  <c r="E1944" i="1"/>
  <c r="A1945" i="1"/>
  <c r="E1945" i="1"/>
  <c r="A1946" i="1"/>
  <c r="E1946" i="1"/>
  <c r="A1947" i="1"/>
  <c r="E1947" i="1"/>
  <c r="A1948" i="1"/>
  <c r="E1948" i="1"/>
  <c r="A1949" i="1"/>
  <c r="E1949" i="1"/>
  <c r="A1950" i="1"/>
  <c r="E1950" i="1"/>
  <c r="A1951" i="1"/>
  <c r="E1951" i="1"/>
  <c r="A1952" i="1"/>
  <c r="E1952" i="1"/>
  <c r="A1953" i="1"/>
  <c r="E1953" i="1"/>
  <c r="A1954" i="1"/>
  <c r="E1954" i="1"/>
  <c r="A1955" i="1"/>
  <c r="E1955" i="1"/>
  <c r="A1956" i="1"/>
  <c r="E1956" i="1"/>
  <c r="A1957" i="1"/>
  <c r="E1957" i="1"/>
  <c r="A1958" i="1"/>
  <c r="E1958" i="1"/>
  <c r="A1959" i="1"/>
  <c r="E1959" i="1"/>
  <c r="A1960" i="1"/>
  <c r="E1960" i="1"/>
  <c r="A1961" i="1"/>
  <c r="E1961" i="1"/>
  <c r="A1962" i="1"/>
  <c r="E1962" i="1"/>
  <c r="A1963" i="1"/>
  <c r="E1963" i="1"/>
  <c r="A1964" i="1"/>
  <c r="E1964" i="1"/>
  <c r="A1965" i="1"/>
  <c r="E1965" i="1"/>
  <c r="E1966" i="1"/>
  <c r="E1967" i="1"/>
  <c r="A1968" i="1"/>
  <c r="E1968" i="1"/>
  <c r="A1969" i="1"/>
  <c r="E1969" i="1"/>
  <c r="A1970" i="1"/>
  <c r="E1970" i="1"/>
  <c r="E1971" i="1"/>
  <c r="A1972" i="1"/>
  <c r="E1972" i="1"/>
  <c r="A1973" i="1"/>
  <c r="E1973" i="1"/>
  <c r="E1974" i="1"/>
  <c r="E1975" i="1"/>
  <c r="E1976" i="1"/>
  <c r="E1977" i="1"/>
  <c r="E1978" i="1"/>
  <c r="A1979" i="1"/>
  <c r="E1979" i="1"/>
  <c r="A1980" i="1"/>
  <c r="E1980" i="1"/>
  <c r="A1981" i="1"/>
  <c r="E1981" i="1"/>
  <c r="A1982" i="1"/>
  <c r="E1982" i="1"/>
  <c r="A1983" i="1"/>
  <c r="E1983" i="1"/>
  <c r="A1984" i="1"/>
  <c r="E1984" i="1"/>
  <c r="A1985" i="1"/>
  <c r="E1985" i="1"/>
  <c r="A1986" i="1"/>
  <c r="E1986" i="1"/>
  <c r="A1987" i="1"/>
  <c r="E1987" i="1"/>
  <c r="A1988" i="1"/>
  <c r="E1988" i="1"/>
  <c r="E1989" i="1"/>
  <c r="E1990" i="1"/>
  <c r="E1991" i="1"/>
  <c r="E1992" i="1"/>
  <c r="E1993" i="1"/>
  <c r="A1994" i="1"/>
  <c r="E1994" i="1"/>
  <c r="A1995" i="1"/>
  <c r="E1995" i="1"/>
  <c r="A1996" i="1"/>
  <c r="E1996" i="1"/>
  <c r="A1997" i="1"/>
  <c r="E1997" i="1"/>
  <c r="A1998" i="1"/>
  <c r="E1998" i="1"/>
  <c r="A1999" i="1"/>
  <c r="E1999" i="1"/>
  <c r="A2000" i="1"/>
  <c r="E2000" i="1"/>
  <c r="A2001" i="1"/>
  <c r="E2001" i="1"/>
  <c r="A2002" i="1"/>
  <c r="E2002" i="1"/>
  <c r="A2003" i="1"/>
  <c r="E2003" i="1"/>
  <c r="A2004" i="1"/>
  <c r="E2004" i="1"/>
  <c r="A2005" i="1"/>
  <c r="E2005" i="1"/>
  <c r="A2006" i="1"/>
  <c r="E2006" i="1"/>
  <c r="A2007" i="1"/>
  <c r="E2007" i="1"/>
  <c r="A2008" i="1"/>
  <c r="E2008" i="1"/>
  <c r="A2009" i="1"/>
  <c r="E2009" i="1"/>
  <c r="A2010" i="1"/>
  <c r="E2010" i="1"/>
  <c r="A2011" i="1"/>
  <c r="E2011" i="1"/>
  <c r="A2012" i="1"/>
  <c r="E2012" i="1"/>
  <c r="A2013" i="1"/>
  <c r="E2013" i="1"/>
  <c r="A2014" i="1"/>
  <c r="E2014" i="1"/>
  <c r="A2015" i="1"/>
  <c r="E2015" i="1"/>
  <c r="A2016" i="1"/>
  <c r="E2016" i="1"/>
  <c r="A2017" i="1"/>
  <c r="E2017" i="1"/>
  <c r="A2018" i="1"/>
  <c r="E2018" i="1"/>
  <c r="A2019" i="1"/>
  <c r="E2019" i="1"/>
  <c r="A2020" i="1"/>
  <c r="E2020" i="1"/>
  <c r="A2021" i="1"/>
  <c r="E2021" i="1"/>
  <c r="A2022" i="1"/>
  <c r="E2022" i="1"/>
  <c r="A2023" i="1"/>
  <c r="E2023" i="1"/>
  <c r="A2024" i="1"/>
  <c r="E2024" i="1"/>
  <c r="A2025" i="1"/>
  <c r="E2025" i="1"/>
  <c r="A2026" i="1"/>
  <c r="E2026" i="1"/>
  <c r="A2027" i="1"/>
  <c r="E2027" i="1"/>
  <c r="A2028" i="1"/>
  <c r="E2028" i="1"/>
  <c r="A2029" i="1"/>
  <c r="E2029" i="1"/>
  <c r="A2030" i="1"/>
  <c r="E2030" i="1"/>
  <c r="E2031" i="1"/>
  <c r="E2032" i="1"/>
  <c r="E2033" i="1"/>
  <c r="A2034" i="1"/>
  <c r="E2034" i="1"/>
  <c r="A2035" i="1"/>
  <c r="E2035" i="1"/>
  <c r="E2036" i="1"/>
  <c r="A2037" i="1"/>
  <c r="E2037" i="1"/>
  <c r="A2038" i="1"/>
  <c r="E2038" i="1"/>
  <c r="A2039" i="1"/>
  <c r="E2039" i="1"/>
  <c r="A2040" i="1"/>
  <c r="E2040" i="1"/>
  <c r="A2041" i="1"/>
  <c r="E2041" i="1"/>
  <c r="A2042" i="1"/>
  <c r="E2042" i="1"/>
  <c r="A2043" i="1"/>
  <c r="E2043" i="1"/>
  <c r="A2044" i="1"/>
  <c r="E2044" i="1"/>
  <c r="A2045" i="1"/>
  <c r="E2045" i="1"/>
  <c r="A2046" i="1"/>
  <c r="E2046" i="1"/>
  <c r="A2047" i="1"/>
  <c r="E2047" i="1"/>
  <c r="A2048" i="1"/>
  <c r="E2048" i="1"/>
  <c r="E2049" i="1"/>
  <c r="E2050" i="1"/>
  <c r="E2051" i="1"/>
  <c r="A2052" i="1"/>
  <c r="E2052" i="1"/>
  <c r="A2053" i="1"/>
  <c r="E2053" i="1"/>
  <c r="A2054" i="1"/>
  <c r="E2054" i="1"/>
  <c r="A2055" i="1"/>
  <c r="E2055" i="1"/>
  <c r="A2056" i="1"/>
  <c r="E2056" i="1"/>
  <c r="A2057" i="1"/>
  <c r="E2057" i="1"/>
  <c r="A2058" i="1"/>
  <c r="E2058" i="1"/>
  <c r="A2059" i="1"/>
  <c r="E2059" i="1"/>
  <c r="A2060" i="1"/>
  <c r="E2060" i="1"/>
  <c r="A2061" i="1"/>
  <c r="E2061" i="1"/>
  <c r="A2062" i="1"/>
  <c r="E2062" i="1"/>
  <c r="A2063" i="1"/>
  <c r="E2063" i="1"/>
  <c r="A2064" i="1"/>
  <c r="E2064" i="1"/>
  <c r="A2065" i="1"/>
  <c r="E2065" i="1"/>
  <c r="A2066" i="1"/>
  <c r="E2066" i="1"/>
  <c r="A2067" i="1"/>
  <c r="E2067" i="1"/>
  <c r="A2068" i="1"/>
  <c r="E2068" i="1"/>
  <c r="A2069" i="1"/>
  <c r="E2069" i="1"/>
  <c r="A2070" i="1"/>
  <c r="E2070" i="1"/>
  <c r="A2071" i="1"/>
  <c r="E2071" i="1"/>
  <c r="A2072" i="1"/>
  <c r="E2072" i="1"/>
  <c r="E2073" i="1"/>
  <c r="A2074" i="1"/>
  <c r="E2074" i="1"/>
  <c r="A2075" i="1"/>
  <c r="E2075" i="1"/>
  <c r="A2076" i="1"/>
  <c r="E2076" i="1"/>
  <c r="A2077" i="1"/>
  <c r="E2077" i="1"/>
  <c r="A2078" i="1"/>
  <c r="E2078" i="1"/>
  <c r="A2079" i="1"/>
  <c r="E2079" i="1"/>
  <c r="A2080" i="1"/>
  <c r="E2080" i="1"/>
  <c r="A2081" i="1"/>
  <c r="E2081" i="1"/>
  <c r="A2082" i="1"/>
  <c r="E2082" i="1"/>
  <c r="A2083" i="1"/>
  <c r="E2083" i="1"/>
  <c r="A2084" i="1"/>
  <c r="E2084" i="1"/>
  <c r="A2085" i="1"/>
  <c r="E2085" i="1"/>
  <c r="A2086" i="1"/>
  <c r="E2086" i="1"/>
  <c r="E2087" i="1"/>
  <c r="E2088" i="1"/>
  <c r="E2089" i="1"/>
  <c r="E2090" i="1"/>
  <c r="E2091" i="1"/>
  <c r="A2092" i="1"/>
  <c r="E2092" i="1"/>
  <c r="A2093" i="1"/>
  <c r="E2093" i="1"/>
  <c r="A2094" i="1"/>
  <c r="E2094" i="1"/>
  <c r="A2095" i="1"/>
  <c r="E2095" i="1"/>
  <c r="A2096" i="1"/>
  <c r="E2096" i="1"/>
  <c r="A2097" i="1"/>
  <c r="E2097" i="1"/>
  <c r="A2098" i="1"/>
  <c r="E2098" i="1"/>
  <c r="A2099" i="1"/>
  <c r="E2099" i="1"/>
  <c r="A2100" i="1"/>
  <c r="E2100" i="1"/>
  <c r="A2101" i="1"/>
  <c r="E2101" i="1"/>
  <c r="A2102" i="1"/>
  <c r="E2102" i="1"/>
  <c r="A2103" i="1"/>
  <c r="E2103" i="1"/>
  <c r="A2104" i="1"/>
  <c r="E2104" i="1"/>
  <c r="A2105" i="1"/>
  <c r="E2105" i="1"/>
  <c r="A2106" i="1"/>
  <c r="E2106" i="1"/>
  <c r="A2107" i="1"/>
  <c r="E2107" i="1"/>
  <c r="A2108" i="1"/>
  <c r="E2108" i="1"/>
  <c r="A2109" i="1"/>
  <c r="E2109" i="1"/>
  <c r="A2110" i="1"/>
  <c r="E2110" i="1"/>
  <c r="A2111" i="1"/>
  <c r="E2111" i="1"/>
  <c r="A2112" i="1"/>
  <c r="E2112" i="1"/>
  <c r="A2113" i="1"/>
  <c r="E2113" i="1"/>
  <c r="A2114" i="1"/>
  <c r="E2114" i="1"/>
  <c r="A2115" i="1"/>
  <c r="E2115" i="1"/>
  <c r="A2116" i="1"/>
  <c r="E2116" i="1"/>
  <c r="A2117" i="1"/>
  <c r="E2117" i="1"/>
  <c r="A2118" i="1"/>
  <c r="E2118" i="1"/>
  <c r="A2119" i="1"/>
  <c r="E2119" i="1"/>
  <c r="A2120" i="1"/>
  <c r="E2120" i="1"/>
  <c r="A2121" i="1"/>
  <c r="E2121" i="1"/>
  <c r="A2122" i="1"/>
  <c r="E2122" i="1"/>
  <c r="A2123" i="1"/>
  <c r="E2123" i="1"/>
  <c r="A2124" i="1"/>
  <c r="E2124" i="1"/>
  <c r="A2125" i="1"/>
  <c r="E2125" i="1"/>
  <c r="A2126" i="1"/>
  <c r="E2126" i="1"/>
  <c r="A2127" i="1"/>
  <c r="E2127" i="1"/>
  <c r="A2128" i="1"/>
  <c r="E2128" i="1"/>
  <c r="A2129" i="1"/>
  <c r="E2129" i="1"/>
  <c r="A2130" i="1"/>
  <c r="E2130" i="1"/>
  <c r="A2131" i="1"/>
  <c r="E2131" i="1"/>
  <c r="A2132" i="1"/>
  <c r="E2132" i="1"/>
  <c r="A2133" i="1"/>
  <c r="E2133" i="1"/>
  <c r="A2134" i="1"/>
  <c r="E2134" i="1"/>
  <c r="A2135" i="1"/>
  <c r="E2135" i="1"/>
  <c r="A2136" i="1"/>
  <c r="E2136" i="1"/>
  <c r="A2137" i="1"/>
  <c r="E2137" i="1"/>
  <c r="A2138" i="1"/>
  <c r="E2138" i="1"/>
  <c r="A2139" i="1"/>
  <c r="E2139" i="1"/>
  <c r="A2140" i="1"/>
  <c r="E2140" i="1"/>
  <c r="A2141" i="1"/>
  <c r="E2141" i="1"/>
  <c r="A2142" i="1"/>
  <c r="E2142" i="1"/>
  <c r="E2143" i="1"/>
  <c r="E2144" i="1"/>
  <c r="A2145" i="1"/>
  <c r="E2145" i="1"/>
  <c r="A2146" i="1"/>
  <c r="E2146" i="1"/>
  <c r="A2147" i="1"/>
  <c r="E2147" i="1"/>
  <c r="A2148" i="1"/>
  <c r="E2148" i="1"/>
  <c r="A2149" i="1"/>
  <c r="E2149" i="1"/>
  <c r="A2150" i="1"/>
  <c r="E2150" i="1"/>
  <c r="E2151" i="1"/>
  <c r="A2152" i="1"/>
  <c r="E2152" i="1"/>
  <c r="A2153" i="1"/>
  <c r="E2153" i="1"/>
  <c r="A2154" i="1"/>
  <c r="E2154" i="1"/>
  <c r="A2155" i="1"/>
  <c r="E2155" i="1"/>
  <c r="A2156" i="1"/>
  <c r="E2156" i="1"/>
  <c r="A2157" i="1"/>
  <c r="E2157" i="1"/>
  <c r="A2158" i="1"/>
  <c r="E2158" i="1"/>
  <c r="A2159" i="1"/>
  <c r="E2159" i="1"/>
  <c r="A2160" i="1"/>
  <c r="E2160" i="1"/>
  <c r="A2161" i="1"/>
  <c r="E2161" i="1"/>
  <c r="A2162" i="1"/>
  <c r="E2162" i="1"/>
  <c r="A2163" i="1"/>
  <c r="E2163" i="1"/>
  <c r="A2164" i="1"/>
  <c r="E2164" i="1"/>
  <c r="A2165" i="1"/>
  <c r="E2165" i="1"/>
  <c r="A2166" i="1"/>
  <c r="E2166" i="1"/>
  <c r="A2167" i="1"/>
  <c r="E2167" i="1"/>
  <c r="A2168" i="1"/>
  <c r="E2168" i="1"/>
  <c r="A2169" i="1"/>
  <c r="E2169" i="1"/>
  <c r="E2170" i="1"/>
  <c r="E2171" i="1"/>
  <c r="E2172" i="1"/>
  <c r="A2173" i="1"/>
  <c r="E2173" i="1"/>
  <c r="A2174" i="1"/>
  <c r="E2174" i="1"/>
  <c r="A2175" i="1"/>
  <c r="E2175" i="1"/>
  <c r="A2176" i="1"/>
  <c r="E2176" i="1"/>
  <c r="A2177" i="1"/>
  <c r="E2177" i="1"/>
  <c r="A2178" i="1"/>
  <c r="E2178" i="1"/>
  <c r="A2179" i="1"/>
  <c r="E2179" i="1"/>
  <c r="A2180" i="1"/>
  <c r="E2180" i="1"/>
  <c r="A2181" i="1"/>
  <c r="E2181" i="1"/>
  <c r="A2182" i="1"/>
  <c r="E2182" i="1"/>
  <c r="A2183" i="1"/>
  <c r="E2183" i="1"/>
  <c r="A2184" i="1"/>
  <c r="E2184" i="1"/>
  <c r="A2185" i="1"/>
  <c r="E2185" i="1"/>
  <c r="A2186" i="1"/>
  <c r="E2186" i="1"/>
  <c r="A2187" i="1"/>
  <c r="E2187" i="1"/>
  <c r="A2188" i="1"/>
  <c r="E2188" i="1"/>
  <c r="A2189" i="1"/>
  <c r="E2189" i="1"/>
  <c r="A2190" i="1"/>
  <c r="E2190" i="1"/>
  <c r="A2191" i="1"/>
  <c r="E2191" i="1"/>
  <c r="A2192" i="1"/>
  <c r="E2192" i="1"/>
  <c r="E2193" i="1"/>
  <c r="E2194" i="1"/>
  <c r="A2195" i="1"/>
  <c r="E2195" i="1"/>
  <c r="A2196" i="1"/>
  <c r="E2196" i="1"/>
  <c r="A2197" i="1"/>
  <c r="E2197" i="1"/>
  <c r="A2198" i="1"/>
  <c r="E2198" i="1"/>
  <c r="A2199" i="1"/>
  <c r="E2199" i="1"/>
  <c r="A2200" i="1"/>
  <c r="E2200" i="1"/>
  <c r="E2201" i="1"/>
  <c r="A2202" i="1"/>
  <c r="E2202" i="1"/>
  <c r="A2203" i="1"/>
  <c r="E2203" i="1"/>
  <c r="A2204" i="1"/>
  <c r="E2204" i="1"/>
  <c r="A2205" i="1"/>
  <c r="E2205" i="1"/>
  <c r="A2206" i="1"/>
  <c r="E2206" i="1"/>
  <c r="A2207" i="1"/>
  <c r="E2207" i="1"/>
  <c r="A2208" i="1"/>
  <c r="E2208" i="1"/>
  <c r="A2209" i="1"/>
  <c r="E2209" i="1"/>
  <c r="A2210" i="1"/>
  <c r="E2210" i="1"/>
  <c r="E2211" i="1"/>
  <c r="A2212" i="1"/>
  <c r="E2212" i="1"/>
  <c r="A2213" i="1"/>
  <c r="E2213" i="1"/>
  <c r="A2214" i="1"/>
  <c r="E2214" i="1"/>
  <c r="A2215" i="1"/>
  <c r="E2215" i="1"/>
  <c r="A2216" i="1"/>
  <c r="E2216" i="1"/>
  <c r="A2217" i="1"/>
  <c r="E2217" i="1"/>
  <c r="A2218" i="1"/>
  <c r="E2218" i="1"/>
  <c r="A2219" i="1"/>
  <c r="E2219" i="1"/>
  <c r="A2220" i="1"/>
  <c r="E2220" i="1"/>
  <c r="A2221" i="1"/>
  <c r="E2221" i="1"/>
  <c r="E2222" i="1"/>
  <c r="A2223" i="1"/>
  <c r="E2223" i="1"/>
  <c r="A2224" i="1"/>
  <c r="E2224" i="1"/>
  <c r="A2225" i="1"/>
  <c r="E2225" i="1"/>
  <c r="A2226" i="1"/>
  <c r="E2226" i="1"/>
  <c r="A2227" i="1"/>
  <c r="E2227" i="1"/>
  <c r="A2228" i="1"/>
  <c r="E2228" i="1"/>
  <c r="A2229" i="1"/>
  <c r="E2229" i="1"/>
  <c r="E2230" i="1"/>
  <c r="A2231" i="1"/>
  <c r="E2231" i="1"/>
  <c r="A2232" i="1"/>
  <c r="E2232" i="1"/>
  <c r="A2233" i="1"/>
  <c r="E2233" i="1"/>
  <c r="A2234" i="1"/>
  <c r="E2234" i="1"/>
  <c r="A2235" i="1"/>
  <c r="E2235" i="1"/>
  <c r="A2236" i="1"/>
  <c r="E2236" i="1"/>
  <c r="A2237" i="1"/>
  <c r="E2237" i="1"/>
  <c r="A2238" i="1"/>
  <c r="E2238" i="1"/>
  <c r="A2239" i="1"/>
  <c r="E2239" i="1"/>
  <c r="A2240" i="1"/>
  <c r="E2240" i="1"/>
  <c r="A2241" i="1"/>
  <c r="E2241" i="1"/>
  <c r="A2242" i="1"/>
  <c r="E2242" i="1"/>
  <c r="A2243" i="1"/>
  <c r="E2243" i="1"/>
  <c r="A2244" i="1"/>
  <c r="E2244" i="1"/>
  <c r="A2245" i="1"/>
  <c r="E2245" i="1"/>
  <c r="A2246" i="1"/>
  <c r="E2246" i="1"/>
  <c r="A2247" i="1"/>
  <c r="E2247" i="1"/>
  <c r="E2248" i="1"/>
  <c r="A2249" i="1"/>
  <c r="E2249" i="1"/>
  <c r="A2250" i="1"/>
  <c r="E2250" i="1"/>
  <c r="A2251" i="1"/>
  <c r="E2251" i="1"/>
  <c r="A2252" i="1"/>
  <c r="E2252" i="1"/>
  <c r="A2253" i="1"/>
  <c r="E2253" i="1"/>
  <c r="A2254" i="1"/>
  <c r="E2254" i="1"/>
  <c r="A2255" i="1"/>
  <c r="E2255" i="1"/>
  <c r="A2256" i="1"/>
  <c r="E2256" i="1"/>
  <c r="A2257" i="1"/>
  <c r="E2257" i="1"/>
  <c r="A2258" i="1"/>
  <c r="E2258" i="1"/>
  <c r="A2259" i="1"/>
  <c r="E2259" i="1"/>
  <c r="A2260" i="1"/>
  <c r="E2260" i="1"/>
  <c r="E2261" i="1"/>
  <c r="A2262" i="1"/>
  <c r="E2262" i="1"/>
  <c r="A2263" i="1"/>
  <c r="E2263" i="1"/>
  <c r="A2264" i="1"/>
  <c r="E2264" i="1"/>
  <c r="A2265" i="1"/>
  <c r="E2265" i="1"/>
  <c r="A2266" i="1"/>
  <c r="E2266" i="1"/>
  <c r="A2267" i="1"/>
  <c r="E2267" i="1"/>
  <c r="A2268" i="1"/>
  <c r="E2268" i="1"/>
  <c r="A2269" i="1"/>
  <c r="E2269" i="1"/>
  <c r="A2270" i="1"/>
  <c r="E2270" i="1"/>
  <c r="A2271" i="1"/>
  <c r="E2271" i="1"/>
  <c r="A2272" i="1"/>
  <c r="E2272" i="1"/>
  <c r="A2273" i="1"/>
  <c r="E2273" i="1"/>
  <c r="E2274" i="1"/>
  <c r="A2275" i="1"/>
  <c r="E2275" i="1"/>
  <c r="A2276" i="1"/>
  <c r="E2276" i="1"/>
  <c r="A2277" i="1"/>
  <c r="E2277" i="1"/>
  <c r="E2278" i="1"/>
  <c r="E2279" i="1"/>
  <c r="A2280" i="1"/>
  <c r="E2280" i="1"/>
  <c r="A2281" i="1"/>
  <c r="E2281" i="1"/>
  <c r="A2282" i="1"/>
  <c r="E2282" i="1"/>
  <c r="A2283" i="1"/>
  <c r="E2283" i="1"/>
  <c r="A2284" i="1"/>
  <c r="E2284" i="1"/>
  <c r="A2285" i="1"/>
  <c r="E2285" i="1"/>
  <c r="A2286" i="1"/>
  <c r="E2286" i="1"/>
  <c r="A2287" i="1"/>
  <c r="E2287" i="1"/>
  <c r="A2288" i="1"/>
  <c r="E2288" i="1"/>
  <c r="A2289" i="1"/>
  <c r="E2289" i="1"/>
  <c r="A2290" i="1"/>
  <c r="E2290" i="1"/>
  <c r="A2291" i="1"/>
  <c r="E2291" i="1"/>
  <c r="A2292" i="1"/>
  <c r="E2292" i="1"/>
  <c r="A2293" i="1"/>
  <c r="E2293" i="1"/>
  <c r="A2294" i="1"/>
  <c r="E2294" i="1"/>
  <c r="A2295" i="1"/>
  <c r="E2295" i="1"/>
  <c r="A2296" i="1"/>
  <c r="E2296" i="1"/>
  <c r="A2297" i="1"/>
  <c r="E2297" i="1"/>
  <c r="A2298" i="1"/>
  <c r="E2298" i="1"/>
  <c r="A2299" i="1"/>
  <c r="E2299" i="1"/>
  <c r="A2300" i="1"/>
  <c r="E2300" i="1"/>
  <c r="A2301" i="1"/>
  <c r="E2301" i="1"/>
  <c r="A2302" i="1"/>
  <c r="E2302" i="1"/>
  <c r="A2303" i="1"/>
  <c r="E2303" i="1"/>
  <c r="A2304" i="1"/>
  <c r="E2304" i="1"/>
  <c r="A2305" i="1"/>
  <c r="E2305" i="1"/>
  <c r="A2306" i="1"/>
  <c r="E2306" i="1"/>
  <c r="A2307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A2325" i="1"/>
  <c r="E2325" i="1"/>
  <c r="A2326" i="1"/>
  <c r="E2326" i="1"/>
  <c r="A2327" i="1"/>
  <c r="E2327" i="1"/>
  <c r="A2328" i="1"/>
  <c r="E2328" i="1"/>
  <c r="A2329" i="1"/>
  <c r="E2329" i="1"/>
  <c r="A2330" i="1"/>
  <c r="E2330" i="1"/>
  <c r="A2331" i="1"/>
  <c r="E2331" i="1"/>
  <c r="A2332" i="1"/>
  <c r="E2332" i="1"/>
  <c r="A2333" i="1"/>
  <c r="E2333" i="1"/>
  <c r="A2334" i="1"/>
  <c r="E2334" i="1"/>
  <c r="A2335" i="1"/>
  <c r="E2335" i="1"/>
  <c r="E2336" i="1"/>
  <c r="A2337" i="1"/>
  <c r="E2337" i="1"/>
  <c r="A2338" i="1"/>
  <c r="E2338" i="1"/>
  <c r="A2339" i="1"/>
  <c r="E2339" i="1"/>
  <c r="A2340" i="1"/>
  <c r="E2340" i="1"/>
  <c r="A2341" i="1"/>
  <c r="E2341" i="1"/>
  <c r="A2342" i="1"/>
  <c r="E2342" i="1"/>
  <c r="A2343" i="1"/>
  <c r="E2343" i="1"/>
  <c r="A2344" i="1"/>
  <c r="E2344" i="1"/>
  <c r="A2345" i="1"/>
  <c r="E2345" i="1"/>
  <c r="A2346" i="1"/>
  <c r="E2346" i="1"/>
  <c r="A2347" i="1"/>
  <c r="E2347" i="1"/>
  <c r="A2348" i="1"/>
  <c r="E2348" i="1"/>
  <c r="A2349" i="1"/>
  <c r="E2349" i="1"/>
  <c r="A2350" i="1"/>
  <c r="E2350" i="1"/>
  <c r="A2351" i="1"/>
  <c r="E2351" i="1"/>
  <c r="A2352" i="1"/>
  <c r="E2352" i="1"/>
  <c r="A2353" i="1"/>
  <c r="E2353" i="1"/>
  <c r="A2354" i="1"/>
  <c r="E2354" i="1"/>
  <c r="A2355" i="1"/>
  <c r="E2355" i="1"/>
  <c r="A2356" i="1"/>
  <c r="E2356" i="1"/>
  <c r="A2357" i="1"/>
  <c r="E2357" i="1"/>
  <c r="A2358" i="1"/>
  <c r="E2358" i="1"/>
  <c r="A2359" i="1"/>
  <c r="E2359" i="1"/>
  <c r="A2360" i="1"/>
  <c r="E2360" i="1"/>
  <c r="A2361" i="1"/>
  <c r="E2361" i="1"/>
  <c r="A2362" i="1"/>
  <c r="E2362" i="1"/>
  <c r="A2363" i="1"/>
  <c r="E2363" i="1"/>
  <c r="A2364" i="1"/>
  <c r="E2364" i="1"/>
  <c r="A2365" i="1"/>
  <c r="E2365" i="1"/>
  <c r="A2366" i="1"/>
  <c r="E2366" i="1"/>
  <c r="A2367" i="1"/>
  <c r="E2367" i="1"/>
  <c r="A2368" i="1"/>
  <c r="E2368" i="1"/>
  <c r="A2369" i="1"/>
  <c r="E2369" i="1"/>
  <c r="A2370" i="1"/>
  <c r="E2370" i="1"/>
  <c r="A2371" i="1"/>
  <c r="E2371" i="1"/>
  <c r="A2372" i="1"/>
  <c r="E2372" i="1"/>
  <c r="A2373" i="1"/>
  <c r="E2373" i="1"/>
  <c r="A2374" i="1"/>
  <c r="E2374" i="1"/>
  <c r="A2375" i="1"/>
  <c r="E2375" i="1"/>
  <c r="A2376" i="1"/>
  <c r="E2376" i="1"/>
  <c r="A2377" i="1"/>
  <c r="E2377" i="1"/>
  <c r="A2378" i="1"/>
  <c r="E2378" i="1"/>
  <c r="A2379" i="1"/>
  <c r="E2379" i="1"/>
  <c r="A2380" i="1"/>
  <c r="E2380" i="1"/>
  <c r="A2381" i="1"/>
  <c r="E2381" i="1"/>
  <c r="A2382" i="1"/>
  <c r="E2382" i="1"/>
  <c r="A2383" i="1"/>
  <c r="E2383" i="1"/>
  <c r="A2384" i="1"/>
  <c r="E2384" i="1"/>
  <c r="A2385" i="1"/>
  <c r="E2385" i="1"/>
  <c r="A2386" i="1"/>
  <c r="E2386" i="1"/>
  <c r="A2387" i="1"/>
  <c r="E2387" i="1"/>
  <c r="A2388" i="1"/>
  <c r="E2388" i="1"/>
  <c r="A2389" i="1"/>
  <c r="E2389" i="1"/>
  <c r="A2390" i="1"/>
  <c r="E2390" i="1"/>
  <c r="A2391" i="1"/>
  <c r="E2391" i="1"/>
  <c r="A2392" i="1"/>
  <c r="E2392" i="1"/>
  <c r="A2393" i="1"/>
  <c r="E2393" i="1"/>
  <c r="A2394" i="1"/>
  <c r="E2394" i="1"/>
  <c r="A2395" i="1"/>
  <c r="E2395" i="1"/>
  <c r="A2396" i="1"/>
  <c r="E2396" i="1"/>
  <c r="A2397" i="1"/>
  <c r="E2397" i="1"/>
  <c r="A2398" i="1"/>
  <c r="E2398" i="1"/>
  <c r="A2399" i="1"/>
  <c r="E2399" i="1"/>
  <c r="A2400" i="1"/>
  <c r="E2400" i="1"/>
  <c r="A2401" i="1"/>
  <c r="E2401" i="1"/>
  <c r="A2402" i="1"/>
  <c r="E2402" i="1"/>
  <c r="A2403" i="1"/>
  <c r="E2403" i="1"/>
  <c r="A2404" i="1"/>
  <c r="E2404" i="1"/>
  <c r="A2405" i="1"/>
  <c r="E2405" i="1"/>
  <c r="A2406" i="1"/>
  <c r="E2406" i="1"/>
  <c r="A2407" i="1"/>
  <c r="E2407" i="1"/>
  <c r="A2408" i="1"/>
  <c r="E2408" i="1"/>
  <c r="A2409" i="1"/>
  <c r="E2409" i="1"/>
  <c r="A2410" i="1"/>
  <c r="E2410" i="1"/>
  <c r="A2411" i="1"/>
  <c r="E2411" i="1"/>
  <c r="A2412" i="1"/>
  <c r="E2412" i="1"/>
  <c r="A2413" i="1"/>
  <c r="E2413" i="1"/>
  <c r="A2414" i="1"/>
  <c r="E2414" i="1"/>
  <c r="A2415" i="1"/>
  <c r="E2415" i="1"/>
  <c r="A2416" i="1"/>
  <c r="E2416" i="1"/>
  <c r="A2417" i="1"/>
  <c r="E2417" i="1"/>
  <c r="A2418" i="1"/>
  <c r="E2418" i="1"/>
  <c r="A2419" i="1"/>
  <c r="E2419" i="1"/>
  <c r="A2420" i="1"/>
  <c r="E2420" i="1"/>
  <c r="A2421" i="1"/>
  <c r="E2421" i="1"/>
  <c r="A2422" i="1"/>
  <c r="E2422" i="1"/>
  <c r="A2423" i="1"/>
  <c r="E2423" i="1"/>
  <c r="A2424" i="1"/>
  <c r="E2424" i="1"/>
  <c r="A2425" i="1"/>
  <c r="E2425" i="1"/>
  <c r="A2426" i="1"/>
  <c r="E2426" i="1"/>
  <c r="A2427" i="1"/>
  <c r="E2427" i="1"/>
  <c r="A2428" i="1"/>
  <c r="E2428" i="1"/>
  <c r="A2429" i="1"/>
  <c r="E2429" i="1"/>
  <c r="A2430" i="1"/>
  <c r="E2430" i="1"/>
  <c r="A2431" i="1"/>
  <c r="E2431" i="1"/>
  <c r="A2432" i="1"/>
  <c r="E2432" i="1"/>
  <c r="A2433" i="1"/>
  <c r="E2433" i="1"/>
  <c r="A2434" i="1"/>
  <c r="E2434" i="1"/>
  <c r="A2435" i="1"/>
  <c r="E2435" i="1"/>
  <c r="A2436" i="1"/>
  <c r="E2436" i="1"/>
  <c r="A2437" i="1"/>
  <c r="E2437" i="1"/>
  <c r="A2438" i="1"/>
  <c r="E2438" i="1"/>
  <c r="A2439" i="1"/>
  <c r="E2439" i="1"/>
  <c r="A2440" i="1"/>
  <c r="E2440" i="1"/>
  <c r="A2441" i="1"/>
  <c r="E2441" i="1"/>
  <c r="A2442" i="1"/>
  <c r="E2442" i="1"/>
  <c r="A2443" i="1"/>
  <c r="E2443" i="1"/>
  <c r="A2444" i="1"/>
  <c r="E2444" i="1"/>
  <c r="A2445" i="1"/>
  <c r="E2445" i="1"/>
  <c r="A2446" i="1"/>
  <c r="E2446" i="1"/>
  <c r="A2447" i="1"/>
  <c r="E2447" i="1"/>
  <c r="A2448" i="1"/>
  <c r="E2448" i="1"/>
  <c r="A2449" i="1"/>
  <c r="E2449" i="1"/>
  <c r="A2450" i="1"/>
  <c r="E2450" i="1"/>
  <c r="A2451" i="1"/>
  <c r="E2451" i="1"/>
  <c r="A2452" i="1"/>
  <c r="E2452" i="1"/>
  <c r="A2453" i="1"/>
  <c r="E2453" i="1"/>
  <c r="A2454" i="1"/>
  <c r="E2454" i="1"/>
  <c r="A2455" i="1"/>
  <c r="E2455" i="1"/>
  <c r="A2456" i="1"/>
  <c r="E2456" i="1"/>
  <c r="A2457" i="1"/>
  <c r="E2457" i="1"/>
  <c r="A2458" i="1"/>
  <c r="E2458" i="1"/>
  <c r="A2459" i="1"/>
  <c r="E2459" i="1"/>
  <c r="A2460" i="1"/>
  <c r="E2460" i="1"/>
  <c r="A2461" i="1"/>
  <c r="E2461" i="1"/>
  <c r="A2462" i="1"/>
  <c r="E2462" i="1"/>
  <c r="A2463" i="1"/>
  <c r="E2463" i="1"/>
  <c r="A2464" i="1"/>
  <c r="E2464" i="1"/>
  <c r="A2465" i="1"/>
  <c r="E2465" i="1"/>
  <c r="A2466" i="1"/>
  <c r="E2466" i="1"/>
  <c r="A2467" i="1"/>
  <c r="E2467" i="1"/>
  <c r="A2468" i="1"/>
  <c r="E2468" i="1"/>
  <c r="A2469" i="1"/>
  <c r="E2469" i="1"/>
  <c r="A2470" i="1"/>
  <c r="E2470" i="1"/>
  <c r="A2471" i="1"/>
  <c r="E2471" i="1"/>
  <c r="A2472" i="1"/>
  <c r="E2472" i="1"/>
  <c r="A2473" i="1"/>
  <c r="E2473" i="1"/>
  <c r="A2474" i="1"/>
  <c r="E2474" i="1"/>
  <c r="A2475" i="1"/>
  <c r="E2475" i="1"/>
  <c r="A2476" i="1"/>
  <c r="E2476" i="1"/>
  <c r="A2477" i="1"/>
  <c r="E2477" i="1"/>
  <c r="A2478" i="1"/>
  <c r="E2478" i="1"/>
  <c r="A2479" i="1"/>
  <c r="E2479" i="1"/>
  <c r="A2480" i="1"/>
  <c r="E2480" i="1"/>
  <c r="A2481" i="1"/>
  <c r="E2481" i="1"/>
  <c r="A2482" i="1"/>
  <c r="E2482" i="1"/>
  <c r="A2483" i="1"/>
  <c r="E2483" i="1"/>
  <c r="A2484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19" i="1"/>
  <c r="E2520" i="1"/>
  <c r="E2521" i="1"/>
  <c r="E2522" i="1"/>
  <c r="E2523" i="1"/>
  <c r="E2524" i="1"/>
  <c r="E2525" i="1"/>
  <c r="E2526" i="1"/>
  <c r="E2527" i="1"/>
  <c r="E2528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  <c r="E2561" i="1"/>
  <c r="E2562" i="1"/>
  <c r="E2563" i="1"/>
  <c r="E2564" i="1"/>
  <c r="E2565" i="1"/>
  <c r="E2566" i="1"/>
  <c r="E2567" i="1"/>
  <c r="E2568" i="1"/>
  <c r="E2569" i="1"/>
  <c r="E2570" i="1"/>
  <c r="E2571" i="1"/>
  <c r="E2572" i="1"/>
  <c r="E2573" i="1"/>
  <c r="E2574" i="1"/>
  <c r="E2575" i="1"/>
  <c r="E2576" i="1"/>
  <c r="E2577" i="1"/>
  <c r="E2578" i="1"/>
  <c r="E2579" i="1"/>
  <c r="E2580" i="1"/>
  <c r="E2581" i="1"/>
  <c r="E2582" i="1"/>
  <c r="E2583" i="1"/>
  <c r="E2584" i="1"/>
  <c r="E2585" i="1"/>
  <c r="E2586" i="1"/>
  <c r="E2587" i="1"/>
  <c r="E2588" i="1"/>
  <c r="E2589" i="1"/>
  <c r="E2590" i="1"/>
  <c r="E2591" i="1"/>
  <c r="E2592" i="1"/>
  <c r="E2593" i="1"/>
  <c r="E2594" i="1"/>
  <c r="E2595" i="1"/>
  <c r="E2596" i="1"/>
  <c r="E2597" i="1"/>
  <c r="E2598" i="1"/>
  <c r="E2599" i="1"/>
  <c r="E2600" i="1"/>
  <c r="E2601" i="1"/>
  <c r="E2602" i="1"/>
  <c r="E2603" i="1"/>
  <c r="E2604" i="1"/>
  <c r="E2605" i="1"/>
  <c r="E2606" i="1"/>
  <c r="E2607" i="1"/>
  <c r="E2608" i="1"/>
  <c r="E2609" i="1"/>
  <c r="E2610" i="1"/>
  <c r="E2611" i="1"/>
  <c r="E2612" i="1"/>
  <c r="E2613" i="1"/>
  <c r="E2614" i="1"/>
  <c r="E2615" i="1"/>
  <c r="E2616" i="1"/>
  <c r="E2617" i="1"/>
  <c r="E2618" i="1"/>
  <c r="E2619" i="1"/>
  <c r="E2620" i="1"/>
  <c r="E2621" i="1"/>
  <c r="E2622" i="1"/>
  <c r="E2623" i="1"/>
  <c r="E2624" i="1"/>
  <c r="E2625" i="1"/>
  <c r="E2626" i="1"/>
  <c r="E2627" i="1"/>
  <c r="E2628" i="1"/>
  <c r="E2629" i="1"/>
  <c r="E2630" i="1"/>
  <c r="E2631" i="1"/>
  <c r="E2632" i="1"/>
  <c r="E2633" i="1"/>
  <c r="E2634" i="1"/>
  <c r="E2635" i="1"/>
  <c r="E2636" i="1"/>
  <c r="E2637" i="1"/>
  <c r="E2638" i="1"/>
  <c r="E2639" i="1"/>
  <c r="E2640" i="1"/>
  <c r="E2641" i="1"/>
  <c r="E2642" i="1"/>
  <c r="E2643" i="1"/>
  <c r="E2644" i="1"/>
  <c r="E2645" i="1"/>
  <c r="E2646" i="1"/>
  <c r="E2647" i="1"/>
  <c r="E2648" i="1"/>
  <c r="E2649" i="1"/>
  <c r="E2650" i="1"/>
  <c r="E2651" i="1"/>
  <c r="E2652" i="1"/>
  <c r="E2653" i="1"/>
  <c r="E2654" i="1"/>
  <c r="E2655" i="1"/>
  <c r="E2656" i="1"/>
  <c r="E2657" i="1"/>
  <c r="E2658" i="1"/>
  <c r="E2659" i="1"/>
  <c r="E2660" i="1"/>
  <c r="E2661" i="1"/>
  <c r="E2662" i="1"/>
  <c r="E2663" i="1"/>
  <c r="E2664" i="1"/>
  <c r="E2665" i="1"/>
  <c r="E2666" i="1"/>
  <c r="E2667" i="1"/>
  <c r="E2668" i="1"/>
  <c r="E2669" i="1"/>
  <c r="E2670" i="1"/>
  <c r="E2671" i="1"/>
  <c r="E2672" i="1"/>
  <c r="E2673" i="1"/>
  <c r="E2674" i="1"/>
  <c r="E2675" i="1"/>
  <c r="E2676" i="1"/>
  <c r="E2677" i="1"/>
  <c r="E2678" i="1"/>
  <c r="E2679" i="1"/>
  <c r="E2680" i="1"/>
  <c r="E2681" i="1"/>
  <c r="E2682" i="1"/>
  <c r="E2683" i="1"/>
  <c r="E2684" i="1"/>
  <c r="E2685" i="1"/>
  <c r="E2686" i="1"/>
  <c r="E2687" i="1"/>
  <c r="E2688" i="1"/>
  <c r="E2689" i="1"/>
  <c r="E2690" i="1"/>
  <c r="E2691" i="1"/>
  <c r="E2692" i="1"/>
  <c r="E2693" i="1"/>
  <c r="E2694" i="1"/>
  <c r="E2695" i="1"/>
  <c r="E2696" i="1"/>
  <c r="E2697" i="1"/>
  <c r="E2698" i="1"/>
  <c r="E2699" i="1"/>
  <c r="E2700" i="1"/>
</calcChain>
</file>

<file path=xl/sharedStrings.xml><?xml version="1.0" encoding="utf-8"?>
<sst xmlns="http://schemas.openxmlformats.org/spreadsheetml/2006/main" count="14910" uniqueCount="4986">
  <si>
    <t>CIPCode2010</t>
  </si>
  <si>
    <t>CIPTitle2010</t>
  </si>
  <si>
    <t>Action</t>
  </si>
  <si>
    <t>Text change</t>
  </si>
  <si>
    <t>CIPCode2020</t>
  </si>
  <si>
    <t>CIPTitle2020</t>
  </si>
  <si>
    <t>AGRICULTURE, AGRICULTURE OPERATIONS, AND RELATED SCIENCES.</t>
  </si>
  <si>
    <t>No substantive changes</t>
  </si>
  <si>
    <t>yes</t>
  </si>
  <si>
    <t>AGRICULTURAL/ANIMAL/PLANT/VETERINARY SCIENCE AND RELATED FIELDS.</t>
  </si>
  <si>
    <t>Agriculture, General.</t>
  </si>
  <si>
    <t>no</t>
  </si>
  <si>
    <t>Agricultural Business and Management.</t>
  </si>
  <si>
    <t>Agricultural Business and Management, General.</t>
  </si>
  <si>
    <t>Agribusiness/Agricultural Business Operations.</t>
  </si>
  <si>
    <t>Agricultural Economics.</t>
  </si>
  <si>
    <t>Farm/Farm and Ranch Management.</t>
  </si>
  <si>
    <t>Agricultural/Farm Supplies Retailing and Wholesaling.</t>
  </si>
  <si>
    <t>Agricultural Business Technology.</t>
  </si>
  <si>
    <t>Agricultural Business Technology/Technician.</t>
  </si>
  <si>
    <t>Agricultural Business and Management, Other.</t>
  </si>
  <si>
    <t>Agricultural Mechanization.</t>
  </si>
  <si>
    <t>Agricultural Mechanization, General.</t>
  </si>
  <si>
    <t>Agricultural Power Machinery Operation.</t>
  </si>
  <si>
    <t>Agricultural Mechanics and Equipment/Machine Technology.</t>
  </si>
  <si>
    <t>Agricultural Mechanics and Equipment/Machine Technology/Technician.</t>
  </si>
  <si>
    <t>New</t>
  </si>
  <si>
    <t>Irrigation Management Technology/Technician.</t>
  </si>
  <si>
    <t>Agricultural Mechanization, Other.</t>
  </si>
  <si>
    <t>Agricultural Production Operations.</t>
  </si>
  <si>
    <t>Agricultural Production Operations, General.</t>
  </si>
  <si>
    <t>Animal/Livestock Husbandry and Production.</t>
  </si>
  <si>
    <t>Aquaculture.</t>
  </si>
  <si>
    <t>Crop Production.</t>
  </si>
  <si>
    <t>Dairy Husbandry and Production.</t>
  </si>
  <si>
    <t>Horse Husbandry/Equine Science and Management.</t>
  </si>
  <si>
    <t>Agroecology and Sustainable Agriculture.</t>
  </si>
  <si>
    <t>Viticulture and Enology.</t>
  </si>
  <si>
    <t>Moved to</t>
  </si>
  <si>
    <t>Apiculture.</t>
  </si>
  <si>
    <t>Agricultural Production Operations, Other.</t>
  </si>
  <si>
    <t>Agricultural and Food Products Processing.</t>
  </si>
  <si>
    <t>Reserved.</t>
  </si>
  <si>
    <t>Agricultural and Domestic Animal Services.</t>
  </si>
  <si>
    <t>Dog/Pet/Animal Grooming.</t>
  </si>
  <si>
    <t>Animal Training.</t>
  </si>
  <si>
    <t>Equestrian/Equine Studies.</t>
  </si>
  <si>
    <t>Taxidermy/Taxidermist.</t>
  </si>
  <si>
    <t>Farrier Science.</t>
  </si>
  <si>
    <t>Agricultural and Domestic Animal Services, Other.</t>
  </si>
  <si>
    <t>Applied Horticulture and Horticultural Business Services.</t>
  </si>
  <si>
    <t>Applied Horticulture/Horticulture Operations, General.</t>
  </si>
  <si>
    <t>Ornamental Horticulture.</t>
  </si>
  <si>
    <t>Greenhouse Operations and Management.</t>
  </si>
  <si>
    <t>Landscaping and Groundskeeping.</t>
  </si>
  <si>
    <t>Plant Nursery Operations and Management.</t>
  </si>
  <si>
    <t>Turf and Turfgrass Management.</t>
  </si>
  <si>
    <t>Floriculture/Floristry Operations and Management.</t>
  </si>
  <si>
    <t>Public Horticulture.</t>
  </si>
  <si>
    <t>Urban and Community Horticulture.</t>
  </si>
  <si>
    <t>Applied Horticulture/Horticultural Business Services, Other.</t>
  </si>
  <si>
    <t>International Agriculture.</t>
  </si>
  <si>
    <t>Agricultural Public Services.</t>
  </si>
  <si>
    <t>Agricultural and Extension Education Services.</t>
  </si>
  <si>
    <t>Agricultural Communication/Journalism.</t>
  </si>
  <si>
    <t>Agricultural Public Services, Other.</t>
  </si>
  <si>
    <t>Animal Sciences.</t>
  </si>
  <si>
    <t>Animal Sciences, General.</t>
  </si>
  <si>
    <t>Agricultural Animal Breeding.</t>
  </si>
  <si>
    <t>Animal Health.</t>
  </si>
  <si>
    <t>Animal Nutrition.</t>
  </si>
  <si>
    <t>Dairy Science.</t>
  </si>
  <si>
    <t>Livestock Management.</t>
  </si>
  <si>
    <t>Poultry Science.</t>
  </si>
  <si>
    <t>Animal Sciences, Other.</t>
  </si>
  <si>
    <t>Food Science and Technology.</t>
  </si>
  <si>
    <t>Food Science.</t>
  </si>
  <si>
    <t>Food Technology and Processing.</t>
  </si>
  <si>
    <t>Brewing Science.</t>
  </si>
  <si>
    <t>Zymology/Fermentation Science.</t>
  </si>
  <si>
    <t>Food Science and Technology, Other.</t>
  </si>
  <si>
    <t>Plant Sciences.</t>
  </si>
  <si>
    <t>Plant Sciences, General.</t>
  </si>
  <si>
    <t>Agronomy and Crop Science.</t>
  </si>
  <si>
    <t>Horticultural Science.</t>
  </si>
  <si>
    <t>Agricultural and Horticultural Plant Breeding.</t>
  </si>
  <si>
    <t>Plant Protection and Integrated Pest Management.</t>
  </si>
  <si>
    <t>Range Science and Management.</t>
  </si>
  <si>
    <t>Plant Sciences, Other.</t>
  </si>
  <si>
    <t>Soil Sciences.</t>
  </si>
  <si>
    <t>Soil Science and Agronomy, General.</t>
  </si>
  <si>
    <t>Soil Chemistry and Physics.</t>
  </si>
  <si>
    <t>Soil Microbiology.</t>
  </si>
  <si>
    <t>Soil Sciences, Other.</t>
  </si>
  <si>
    <t>Agriculture/Veterinary Preparatory Programs.</t>
  </si>
  <si>
    <t>Agriculture/Veterinary Preparatory Programs, Other.</t>
  </si>
  <si>
    <t>Veterinary Administrative Services.</t>
  </si>
  <si>
    <t>Veterinary Administrative Services, General.</t>
  </si>
  <si>
    <t>Veterinary Office Management/Administration.</t>
  </si>
  <si>
    <t>Veterinary Reception/Receptionist.</t>
  </si>
  <si>
    <t>Veterinary Administrative/Executive Assistant and Veterinary Secretary.</t>
  </si>
  <si>
    <t>Veterinary Administrative Services, Other.</t>
  </si>
  <si>
    <t>Veterinary/Animal Health Technologies/Technicians.</t>
  </si>
  <si>
    <t>Veterinary/Animal Health Technologies/Technicians, Other.</t>
  </si>
  <si>
    <t>Agriculture, Agriculture Operations, and Related Sciences, Other.</t>
  </si>
  <si>
    <t>Agricultural/Animal/Plant/Veterinary Science and Related Fields, Other.</t>
  </si>
  <si>
    <t>NATURAL RESOURCES AND CONSERVATION.</t>
  </si>
  <si>
    <t>Natural Resources Conservation and Research.</t>
  </si>
  <si>
    <t>Natural Resources/Conservation, General.</t>
  </si>
  <si>
    <t>Environmental Studies.</t>
  </si>
  <si>
    <t>Environmental Science.</t>
  </si>
  <si>
    <t>Natural Resources Conservation and Research, Other.</t>
  </si>
  <si>
    <t>Natural Resources Management and Policy.</t>
  </si>
  <si>
    <t>Environmental/Natural Resources Management and Policy.</t>
  </si>
  <si>
    <t>Environmental/Natural Resources Management and Policy, General.</t>
  </si>
  <si>
    <t>Natural Resource Economics.</t>
  </si>
  <si>
    <t>Environmental/Natural Resource Economics.</t>
  </si>
  <si>
    <t>Water, Wetlands, and Marine Resources Management.</t>
  </si>
  <si>
    <t>Land Use Planning and Management/Development.</t>
  </si>
  <si>
    <t>Natural Resource Recreation and Tourism.</t>
  </si>
  <si>
    <t>Environmental/Natural Resource Recreation and Tourism.</t>
  </si>
  <si>
    <t>Natural Resources Law Enforcement and Protective Services.</t>
  </si>
  <si>
    <t>Environmental/Natural Resources Law Enforcement and Protective Services.</t>
  </si>
  <si>
    <t>Energy and Environmental Policy.</t>
  </si>
  <si>
    <t>Bioenergy.</t>
  </si>
  <si>
    <t>Natural Resources Management and Policy, Other.</t>
  </si>
  <si>
    <t>Environmental/Natural Resources Management and Policy, Other.</t>
  </si>
  <si>
    <t>Fishing and Fisheries Sciences and Management.</t>
  </si>
  <si>
    <t>Forestry.</t>
  </si>
  <si>
    <t>Forestry, General.</t>
  </si>
  <si>
    <t>Forest Sciences and Biology.</t>
  </si>
  <si>
    <t>Forest Management/Forest Resources Management.</t>
  </si>
  <si>
    <t>Urban Forestry.</t>
  </si>
  <si>
    <t>Wood Science and Wood Products/Pulp and Paper Technology.</t>
  </si>
  <si>
    <t>Wood Science and Wood Products/Pulp and Paper Technology/Technician.</t>
  </si>
  <si>
    <t>Forest Resources Production and Management.</t>
  </si>
  <si>
    <t>Forest Technology/Technician.</t>
  </si>
  <si>
    <t>Forestry, Other.</t>
  </si>
  <si>
    <t>Wildlife and Wildlands Science and Management.</t>
  </si>
  <si>
    <t>Wildlife, Fish and Wildlands Science and Management.</t>
  </si>
  <si>
    <t>Natural Resources and Conservation, Other.</t>
  </si>
  <si>
    <t>ARCHITECTURE AND RELATED SERVICES.</t>
  </si>
  <si>
    <t>Architecture.</t>
  </si>
  <si>
    <t>Pre-Architecture Studies.</t>
  </si>
  <si>
    <t>Architectural Design.</t>
  </si>
  <si>
    <t>Architecture, Other.</t>
  </si>
  <si>
    <t>City/Urban, Community and Regional Planning.</t>
  </si>
  <si>
    <t>City/Urban, Community, and Regional Planning.</t>
  </si>
  <si>
    <t>Environmental Design.</t>
  </si>
  <si>
    <t>Environmental Design/Architecture.</t>
  </si>
  <si>
    <t>Healthcare Environment Design/Architecture.</t>
  </si>
  <si>
    <t>Sustainable Design/Architecture.</t>
  </si>
  <si>
    <t>Environmental Design, Other.</t>
  </si>
  <si>
    <t>Interior Architecture.</t>
  </si>
  <si>
    <t>Landscape Architecture.</t>
  </si>
  <si>
    <t>Architectural History and Criticism.</t>
  </si>
  <si>
    <t>Architectural History, Criticism, and Conservation.</t>
  </si>
  <si>
    <t>Architectural History and Criticism, General.</t>
  </si>
  <si>
    <t>Architectural Conservation.</t>
  </si>
  <si>
    <t>Architectural Studies.</t>
  </si>
  <si>
    <t>Architectural History, Criticism, and Conservation, Other.</t>
  </si>
  <si>
    <t>Architectural Sciences and Technology.</t>
  </si>
  <si>
    <t>Architectural Technology/Technician.</t>
  </si>
  <si>
    <t>Architectural and Building Sciences/Technology.</t>
  </si>
  <si>
    <t>Architectural Sciences and Technology, Other.</t>
  </si>
  <si>
    <t>Real Estate Development.</t>
  </si>
  <si>
    <t>Architecture and Related Services, Other.</t>
  </si>
  <si>
    <t>AREA, ETHNIC, CULTURAL, GENDER, AND GROUP STUDIES.</t>
  </si>
  <si>
    <t>Area Studies.</t>
  </si>
  <si>
    <t>African Studies.</t>
  </si>
  <si>
    <t>American/United States Studies/Civilization.</t>
  </si>
  <si>
    <t>Asian Studies/Civilization.</t>
  </si>
  <si>
    <t>East Asian Studies.</t>
  </si>
  <si>
    <t>Russian, Central European, East European and Eurasian Studies.</t>
  </si>
  <si>
    <t>European Studies/Civilization.</t>
  </si>
  <si>
    <t>Latin American Studies.</t>
  </si>
  <si>
    <t>Near and Middle Eastern Studies.</t>
  </si>
  <si>
    <t>Pacific Area/Pacific Rim Studies.</t>
  </si>
  <si>
    <t>Russian Studies.</t>
  </si>
  <si>
    <t>Scandinavian Studies.</t>
  </si>
  <si>
    <t>South Asian Studies.</t>
  </si>
  <si>
    <t>Southeast Asian Studies.</t>
  </si>
  <si>
    <t>Western European Studies.</t>
  </si>
  <si>
    <t>Canadian Studies.</t>
  </si>
  <si>
    <t>Balkans Studies.</t>
  </si>
  <si>
    <t>Baltic Studies.</t>
  </si>
  <si>
    <t>Slavic Studies.</t>
  </si>
  <si>
    <t>Caribbean Studies.</t>
  </si>
  <si>
    <t>Ural-Altaic and Central Asian Studies.</t>
  </si>
  <si>
    <t>Commonwealth Studies.</t>
  </si>
  <si>
    <t>Regional Studies (U.S., Canadian, Foreign)</t>
  </si>
  <si>
    <t>Regional Studies (U.S., Canadian, Foreign).</t>
  </si>
  <si>
    <t>Chinese Studies.</t>
  </si>
  <si>
    <t>French Studies.</t>
  </si>
  <si>
    <t>German Studies.</t>
  </si>
  <si>
    <t>Italian Studies.</t>
  </si>
  <si>
    <t>Japanese Studies.</t>
  </si>
  <si>
    <t>Korean Studies.</t>
  </si>
  <si>
    <t>Polish Studies.</t>
  </si>
  <si>
    <t>Spanish and Iberian Studies.</t>
  </si>
  <si>
    <t>Tibetan Studies.</t>
  </si>
  <si>
    <t>Ukraine Studies.</t>
  </si>
  <si>
    <t>Irish Studies.</t>
  </si>
  <si>
    <t>Latin American and Caribbean Studies.</t>
  </si>
  <si>
    <t>Appalachian Studies.</t>
  </si>
  <si>
    <t>Arctic Studies.</t>
  </si>
  <si>
    <t>Area Studies, Other.</t>
  </si>
  <si>
    <t>Ethnic, Cultural Minority, Gender, and Group Studies.</t>
  </si>
  <si>
    <t>Ethnic Studies.</t>
  </si>
  <si>
    <t>African-American/Black Studies.</t>
  </si>
  <si>
    <t>American Indian/Native American Studies.</t>
  </si>
  <si>
    <t>Hispanic-American, Puerto Rican, and Mexican-American/Chicano Studies.</t>
  </si>
  <si>
    <t>Asian-American Studies.</t>
  </si>
  <si>
    <t>Women's Studies.</t>
  </si>
  <si>
    <t>Gay/Lesbian Studies.</t>
  </si>
  <si>
    <t>Folklore Studies.</t>
  </si>
  <si>
    <t>Disability Studies.</t>
  </si>
  <si>
    <t>Deaf Studies.</t>
  </si>
  <si>
    <t>Comparative Group Studies.</t>
  </si>
  <si>
    <t>Ethnic, Cultural Minority, Gender, and Group Studies, Other.</t>
  </si>
  <si>
    <t>Area, Ethnic, Cultural, Gender, and Group Studies, Other.</t>
  </si>
  <si>
    <t>COMMUNICATION, JOURNALISM, AND RELATED PROGRAMS.</t>
  </si>
  <si>
    <t>Communication and Media Studies.</t>
  </si>
  <si>
    <t>Communication, General.</t>
  </si>
  <si>
    <t>Speech Communication and Rhetoric.</t>
  </si>
  <si>
    <t>Mass Communication/Media Studies.</t>
  </si>
  <si>
    <t>Communication and Media Studies, Other.</t>
  </si>
  <si>
    <t>Journalism.</t>
  </si>
  <si>
    <t>Broadcast Journalism.</t>
  </si>
  <si>
    <t>Photojournalism.</t>
  </si>
  <si>
    <t>Business and Economic Journalism.</t>
  </si>
  <si>
    <t>Cultural Journalism.</t>
  </si>
  <si>
    <t>Science/Health/Environmental Journalism.</t>
  </si>
  <si>
    <t>Journalism, Other.</t>
  </si>
  <si>
    <t>Radio, Television, and Digital Communication.</t>
  </si>
  <si>
    <t>Radio and Television.</t>
  </si>
  <si>
    <t>Digital Communication and Media/Multimedia.</t>
  </si>
  <si>
    <t>Radio, Television, and Digital Communication, Other.</t>
  </si>
  <si>
    <t>Public Relations, Advertising, and Applied Communication.</t>
  </si>
  <si>
    <t>Organizational Communication, General.</t>
  </si>
  <si>
    <t>Public Relations/Image Management.</t>
  </si>
  <si>
    <t>Advertising.</t>
  </si>
  <si>
    <t>Political Communication.</t>
  </si>
  <si>
    <t>Health Communication.</t>
  </si>
  <si>
    <t>Sports Communication.</t>
  </si>
  <si>
    <t>International and Intercultural Communication.</t>
  </si>
  <si>
    <t>Technical and Scientific Communication.</t>
  </si>
  <si>
    <t>Communication Management and Strategic Communications.</t>
  </si>
  <si>
    <t>Public Relations, Advertising, and Applied Communication, Other</t>
  </si>
  <si>
    <t>Public Relations, Advertising, and Applied Communication, Other.</t>
  </si>
  <si>
    <t>Publishing.</t>
  </si>
  <si>
    <t>Communication, Journalism, and Related Programs, Other.</t>
  </si>
  <si>
    <t>COMMUNICATIONS TECHNOLOGIES/TECHNICIANS AND SUPPORT SERVICES.</t>
  </si>
  <si>
    <t>Communications Technology/Technician.</t>
  </si>
  <si>
    <t>Communications Technologies/Technicians.</t>
  </si>
  <si>
    <t>Audiovisual Communications Technologies/Technicians.</t>
  </si>
  <si>
    <t>Photographic and Film/Video Technology/Technician and Assistant.</t>
  </si>
  <si>
    <t>Photographic and Film/Video Technology/Technician.</t>
  </si>
  <si>
    <t>Radio and Television Broadcasting Technology/Technician.</t>
  </si>
  <si>
    <t>Recording Arts Technology/Technician.</t>
  </si>
  <si>
    <t>Voice Writing Technology/Technician.</t>
  </si>
  <si>
    <t>Audiovisual Communications Technologies/Technicians, Other.</t>
  </si>
  <si>
    <t>Graphic Communications.</t>
  </si>
  <si>
    <t>Graphic Communications, General.</t>
  </si>
  <si>
    <t>Printing Management.</t>
  </si>
  <si>
    <t>Prepress/Desktop Publishing and Digital Imaging Design.</t>
  </si>
  <si>
    <t>Animation, Interactive Technology, Video Graphics and Special Effects.</t>
  </si>
  <si>
    <t>Animation, Interactive Technology, Video Graphics, and Special Effects.</t>
  </si>
  <si>
    <t>Graphic and Printing Equipment Operator, General Production.</t>
  </si>
  <si>
    <t>Platemaker/Imager.</t>
  </si>
  <si>
    <t>Printing Press Operator.</t>
  </si>
  <si>
    <t>Computer Typography and Composition Equipment Operator.</t>
  </si>
  <si>
    <t>Graphic Communications, Other.</t>
  </si>
  <si>
    <t>Communications Technologies/Technicians and Support Services, Other.</t>
  </si>
  <si>
    <t>COMPUTER AND INFORMATION SCIENCES AND SUPPORT SERVICES.</t>
  </si>
  <si>
    <t>Computer and Information Sciences, General.</t>
  </si>
  <si>
    <t>Artificial Intelligence.</t>
  </si>
  <si>
    <t>Information Technology.</t>
  </si>
  <si>
    <t>Informatics.</t>
  </si>
  <si>
    <t>Human-Centered Technology Design.</t>
  </si>
  <si>
    <t>Computer and Information Sciences,  Other.</t>
  </si>
  <si>
    <t>Computer Programming.</t>
  </si>
  <si>
    <t>Computer Programming/Programmer, General.</t>
  </si>
  <si>
    <t>Computer Programming, Specific Applications.</t>
  </si>
  <si>
    <t>Computer Programming, Vendor/Product Certification.</t>
  </si>
  <si>
    <t>Computer Game Programming.</t>
  </si>
  <si>
    <t>Computer Programming, Specific Platforms.</t>
  </si>
  <si>
    <t>Computer Programming, Other.</t>
  </si>
  <si>
    <t>Data Processing.</t>
  </si>
  <si>
    <t>Data Processing and Data Processing Technology/Technician.</t>
  </si>
  <si>
    <t>Information Science/Studies.</t>
  </si>
  <si>
    <t>Computer Systems Analysis.</t>
  </si>
  <si>
    <t>Computer Systems Analysis/Analyst.</t>
  </si>
  <si>
    <t>Data Entry/Microcomputer Applications.</t>
  </si>
  <si>
    <t>Data Entry/Microcomputer Applications, General.</t>
  </si>
  <si>
    <t>Word Processing.</t>
  </si>
  <si>
    <t>Data Entry/Microcomputer Applications, Other.</t>
  </si>
  <si>
    <t>Computer Science.</t>
  </si>
  <si>
    <t>Computer Software and Media Applications.</t>
  </si>
  <si>
    <t>Web Page, Digital/Multimedia and Information Resources Design.</t>
  </si>
  <si>
    <t>Data Modeling/Warehousing and Database Administration.</t>
  </si>
  <si>
    <t>Computer Graphics.</t>
  </si>
  <si>
    <t>Modeling, Virtual Environments and Simulation.</t>
  </si>
  <si>
    <t>Computer Software and Media Applications, Other.</t>
  </si>
  <si>
    <t>Computer Systems Networking and Telecommunications.</t>
  </si>
  <si>
    <t>Cloud Computing.</t>
  </si>
  <si>
    <t>Computer Systems Networking and Telecommunications, Other.</t>
  </si>
  <si>
    <t>Computer/Information Technology Administration and Management.</t>
  </si>
  <si>
    <t>Network and System Administration/Administrator.</t>
  </si>
  <si>
    <t>System, Networking, and LAN/WAN Management/Manager.</t>
  </si>
  <si>
    <t>Computer and Information Systems Security/Information Assurance.</t>
  </si>
  <si>
    <t>Computer and Information Systems Security/Auditing/Information Assurance.</t>
  </si>
  <si>
    <t>Web/Multimedia Management and Webmaster.</t>
  </si>
  <si>
    <t>Information Technology Project Management.</t>
  </si>
  <si>
    <t>Computer Support Specialist.</t>
  </si>
  <si>
    <t>Computer/Information Technology Services Administration and Management, Other.</t>
  </si>
  <si>
    <t>Computer and Information Sciences and Support Services, Other.</t>
  </si>
  <si>
    <t>PERSONAL AND CULINARY SERVICES.</t>
  </si>
  <si>
    <t>CULINARY, ENTERTAINMENT, AND PERSONAL SERVICES.</t>
  </si>
  <si>
    <t>Funeral Service and Mortuary Science.</t>
  </si>
  <si>
    <t>Funeral Service and Mortuary Science, General.</t>
  </si>
  <si>
    <t>Funeral Direction/Service.</t>
  </si>
  <si>
    <t>Mortuary Science and Embalming/Embalmer.</t>
  </si>
  <si>
    <t>Funeral Service and Mortuary Science, Other.</t>
  </si>
  <si>
    <t>Cosmetology and Related Personal Grooming Services.</t>
  </si>
  <si>
    <t>Cosmetology/Cosmetologist, General.</t>
  </si>
  <si>
    <t>Barbering/Barber.</t>
  </si>
  <si>
    <t>Electrolysis/Electrology and Electrolysis Technician.</t>
  </si>
  <si>
    <t>Make-Up Artist/Specialist.</t>
  </si>
  <si>
    <t>Hair Styling/Stylist and Hair Design.</t>
  </si>
  <si>
    <t>Facial Treatment Specialist/Facialist.</t>
  </si>
  <si>
    <t>Aesthetician/Esthetician and Skin Care Specialist.</t>
  </si>
  <si>
    <t>Nail Technician/Specialist and Manicurist.</t>
  </si>
  <si>
    <t>Permanent Cosmetics/Makeup and Tattooing.</t>
  </si>
  <si>
    <t>Salon/Beauty Salon Management/Manager.</t>
  </si>
  <si>
    <t>Cosmetology, Barber/Styling, and Nail Instructor.</t>
  </si>
  <si>
    <t>Master Aesthetician/Esthetician.</t>
  </si>
  <si>
    <t>Cosmetology and Related Personal Grooming Arts, Other.</t>
  </si>
  <si>
    <t>Culinary Arts and Related Services.</t>
  </si>
  <si>
    <t>Cooking and Related Culinary Arts, General.</t>
  </si>
  <si>
    <t>Baking and Pastry Arts/Baker/Pastry Chef.</t>
  </si>
  <si>
    <t>Bartending/Bartender.</t>
  </si>
  <si>
    <t>Culinary Arts/Chef Training.</t>
  </si>
  <si>
    <t>Restaurant, Culinary, and Catering Management/Manager.</t>
  </si>
  <si>
    <t>Food Preparation/Professional Cooking/Kitchen Assistant.</t>
  </si>
  <si>
    <t>Meat Cutting/Meat Cutter.</t>
  </si>
  <si>
    <t>Food Service, Waiter/Waitress, and Dining Room Management/Manager.</t>
  </si>
  <si>
    <t>Institutional Food Workers.</t>
  </si>
  <si>
    <t>Culinary Science/Culinology.</t>
  </si>
  <si>
    <t>Wine Steward/Sommelier.</t>
  </si>
  <si>
    <t>Culinary Arts and Related Services, Other.</t>
  </si>
  <si>
    <t>Casino Operations and Services.</t>
  </si>
  <si>
    <t>Casino Operations and Services, General.</t>
  </si>
  <si>
    <t>Casino Dealing.</t>
  </si>
  <si>
    <t>Casino Operations and Services, Other.</t>
  </si>
  <si>
    <t>Personal and Culinary Services, Other.</t>
  </si>
  <si>
    <t>Culinary, Entertainment, and Personal Services, Other.</t>
  </si>
  <si>
    <t>EDUCATION.</t>
  </si>
  <si>
    <t>Education, General.</t>
  </si>
  <si>
    <t>Bilingual, Multilingual, and Multicultural Education.</t>
  </si>
  <si>
    <t>Bilingual and Multilingual Education.</t>
  </si>
  <si>
    <t>Multicultural Education.</t>
  </si>
  <si>
    <t>Indian/Native American Education.</t>
  </si>
  <si>
    <t>Bilingual, Multilingual, and Multicultural Education, Other.</t>
  </si>
  <si>
    <t>Curriculum and Instruction.</t>
  </si>
  <si>
    <t>Educational Administration and Supervision.</t>
  </si>
  <si>
    <t>Educational Leadership and Administration, General.</t>
  </si>
  <si>
    <t>Administration of Special Education.</t>
  </si>
  <si>
    <t>Adult and Continuing Education Administration.</t>
  </si>
  <si>
    <t>Educational, Instructional, and Curriculum Supervision.</t>
  </si>
  <si>
    <t>Higher Education/Higher Education Administration.</t>
  </si>
  <si>
    <t>Community College Education.</t>
  </si>
  <si>
    <t>Community College Administration.</t>
  </si>
  <si>
    <t>Elementary and Middle School Administration/Principalship.</t>
  </si>
  <si>
    <t>Secondary School Administration/Principalship.</t>
  </si>
  <si>
    <t>Urban Education and Leadership.</t>
  </si>
  <si>
    <t>Superintendency and Educational System Administration.</t>
  </si>
  <si>
    <t>International School Administration/Leadership.</t>
  </si>
  <si>
    <t>Education Entrepreneurship.</t>
  </si>
  <si>
    <t>Early Childhood Program Administration.</t>
  </si>
  <si>
    <t>Educational Administration and Supervision, Other.</t>
  </si>
  <si>
    <t>Educational/Instructional Media Design.</t>
  </si>
  <si>
    <t>Educational/Instructional Technology.</t>
  </si>
  <si>
    <t>Educational Assessment, Evaluation, and Research.</t>
  </si>
  <si>
    <t>Educational Evaluation and Research.</t>
  </si>
  <si>
    <t>Educational Statistics and Research Methods.</t>
  </si>
  <si>
    <t>Educational Assessment, Testing, and Measurement.</t>
  </si>
  <si>
    <t>Learning Sciences.</t>
  </si>
  <si>
    <t>Institutional Research.</t>
  </si>
  <si>
    <t>Educational Assessment, Evaluation, and Research, Other.</t>
  </si>
  <si>
    <t>International and Comparative Education.</t>
  </si>
  <si>
    <t>Social and Philosophical Foundations of Education.</t>
  </si>
  <si>
    <t>Special Education and Teaching.</t>
  </si>
  <si>
    <t>Special Education and Teaching, General.</t>
  </si>
  <si>
    <t>Education/Teaching of Individuals with Hearing Impairments Including Deafness.</t>
  </si>
  <si>
    <t>Education/Teaching of the Gifted and Talented.</t>
  </si>
  <si>
    <t>Education/Teaching of Individuals with Emotional Disturbances.</t>
  </si>
  <si>
    <t>Education/Teaching of Individuals with Mental Retardation.</t>
  </si>
  <si>
    <t>Education/Teaching of Individuals with Intellectual Disabilities.</t>
  </si>
  <si>
    <t>Education/Teaching of Individuals with Multiple Disabilities.</t>
  </si>
  <si>
    <t>Education/Teaching of Individuals with Orthopedic and Other Physical Health Impairments.</t>
  </si>
  <si>
    <t>Education/Teaching of Individuals with Vision Impairments Including Blindness.</t>
  </si>
  <si>
    <t>Education/Teaching of Individuals with Specific Learning Disabilities.</t>
  </si>
  <si>
    <t>Education/Teaching of Individuals with Speech or Language Impairments.</t>
  </si>
  <si>
    <t>Education/Teaching of Individuals with Autism.</t>
  </si>
  <si>
    <t>Education/Teaching of Individuals Who are Developmentally Delayed.</t>
  </si>
  <si>
    <t>Education/Teaching of Individuals in Early Childhood Special Education Programs.</t>
  </si>
  <si>
    <t>Education/Teaching of Individuals with Traumatic Brain Injuries.</t>
  </si>
  <si>
    <t>Education/Teaching of Individuals in Elementary Special Education Programs.</t>
  </si>
  <si>
    <t>Education/Teaching of Individuals in Junior High/Middle School Special Education Programs.</t>
  </si>
  <si>
    <t>Education/Teaching of Individuals in Secondary Special Education Programs.</t>
  </si>
  <si>
    <t>Special Education and Teaching, Other.</t>
  </si>
  <si>
    <t>Student Counseling and Personnel Services.</t>
  </si>
  <si>
    <t>Counselor Education/School Counseling and Guidance Services.</t>
  </si>
  <si>
    <t>College Student Counseling and Personnel Services.</t>
  </si>
  <si>
    <t>Student Counseling and Personnel Services, Other.</t>
  </si>
  <si>
    <t>Teacher Education and Professional Development, Specific Levels and Methods.</t>
  </si>
  <si>
    <t>Adult and Continuing Education and Teaching.</t>
  </si>
  <si>
    <t>Elementary Education and Teaching.</t>
  </si>
  <si>
    <t>Junior High/Intermediate/Middle School Education and Teaching.</t>
  </si>
  <si>
    <t>Secondary Education and Teaching.</t>
  </si>
  <si>
    <t>Teacher Education, Multiple Levels.</t>
  </si>
  <si>
    <t>Montessori Teacher Education.</t>
  </si>
  <si>
    <t>Waldorf/Steiner Teacher Education.</t>
  </si>
  <si>
    <t>Kindergarten/Preschool Education and Teaching.</t>
  </si>
  <si>
    <t>Early Childhood Education and Teaching.</t>
  </si>
  <si>
    <t>Online Educator/Online Teaching.</t>
  </si>
  <si>
    <t>International Teaching and Learning.</t>
  </si>
  <si>
    <t>Science, Technology, Engineering, and Mathematics (STEM) Educational Methods.</t>
  </si>
  <si>
    <t>College/Postsecondary/University Teaching.</t>
  </si>
  <si>
    <t>Teacher Education and Professional Development, Specific Levels and Methods, Other.</t>
  </si>
  <si>
    <t>Teacher Education and Professional Development, Specific Subject Areas.</t>
  </si>
  <si>
    <t>Agricultural Teacher Education.</t>
  </si>
  <si>
    <t>Art Teacher Education.</t>
  </si>
  <si>
    <t>Business Teacher Education.</t>
  </si>
  <si>
    <t>Business and Innovation/Entrepreneurship Teacher Education.</t>
  </si>
  <si>
    <t>Driver and Safety Teacher Education.</t>
  </si>
  <si>
    <t>English/Language Arts Teacher Education.</t>
  </si>
  <si>
    <t>Foreign Language Teacher  Education.</t>
  </si>
  <si>
    <t>Health Teacher Education.</t>
  </si>
  <si>
    <t>Family and Consumer Sciences/Home Economics Teacher Education.</t>
  </si>
  <si>
    <t>Technology Teacher Education/Industrial Arts Teacher Education.</t>
  </si>
  <si>
    <t>Sales and Marketing Operations/Marketing and Distribution   Teacher Education.</t>
  </si>
  <si>
    <t>Mathematics Teacher Education.</t>
  </si>
  <si>
    <t>Music Teacher Education.</t>
  </si>
  <si>
    <t>Physical Education Teaching and Coaching.</t>
  </si>
  <si>
    <t>Reading Teacher Education.</t>
  </si>
  <si>
    <t>Science Teacher Education/General Science Teacher Education.</t>
  </si>
  <si>
    <t>Social Science Teacher Education.</t>
  </si>
  <si>
    <t>Social Studies Teacher Education.</t>
  </si>
  <si>
    <t>Technical Teacher Education.</t>
  </si>
  <si>
    <t>Trade and Industrial Teacher Education.</t>
  </si>
  <si>
    <t>Computer Teacher Education.</t>
  </si>
  <si>
    <t>Biology Teacher Education.</t>
  </si>
  <si>
    <t>Chemistry Teacher Education.</t>
  </si>
  <si>
    <t>Drama and Dance Teacher Education.</t>
  </si>
  <si>
    <t>French Language Teacher Education.</t>
  </si>
  <si>
    <t>German Language Teacher Education.</t>
  </si>
  <si>
    <t>Health Occupations Teacher Education.</t>
  </si>
  <si>
    <t>History Teacher Education.</t>
  </si>
  <si>
    <t>Physics Teacher Education.</t>
  </si>
  <si>
    <t>Spanish Language Teacher Education.</t>
  </si>
  <si>
    <t>Speech Teacher Education.</t>
  </si>
  <si>
    <t>Geography Teacher Education.</t>
  </si>
  <si>
    <t>Latin Teacher Education.</t>
  </si>
  <si>
    <t>School Librarian/School Library Media Specialist.</t>
  </si>
  <si>
    <t>Psychology Teacher Education.</t>
  </si>
  <si>
    <t>Earth Science Teacher Education.</t>
  </si>
  <si>
    <t>Environmental Education.</t>
  </si>
  <si>
    <t>Communication Arts and Literature Teacher Education.</t>
  </si>
  <si>
    <t>Teacher Education and Professional Development, Specific Subject Areas, Other.</t>
  </si>
  <si>
    <t>Teaching English or French as a Second or Foreign Language.</t>
  </si>
  <si>
    <t>Teaching English as a Second or Foreign Language/ESL Language Instructor.</t>
  </si>
  <si>
    <t>Teaching French as a Second or Foreign Language.</t>
  </si>
  <si>
    <t>Teaching English or French as a Second or Foreign Language, Other.</t>
  </si>
  <si>
    <t>Teaching Assistants/Aides.</t>
  </si>
  <si>
    <t>Teacher Assistant/Aide.</t>
  </si>
  <si>
    <t>Adult Literacy Tutor/Instructor.</t>
  </si>
  <si>
    <t>Teaching Assistants/Aides, Other.</t>
  </si>
  <si>
    <t>Education, Other.</t>
  </si>
  <si>
    <t>ENGINEERING.</t>
  </si>
  <si>
    <t>Engineering, General.</t>
  </si>
  <si>
    <t>Pre-Engineering.</t>
  </si>
  <si>
    <t>Applied Engineering.</t>
  </si>
  <si>
    <t>Aerospace, Aeronautical and Astronautical Engineering.</t>
  </si>
  <si>
    <t>Aerospace, Aeronautical, and Astronautical/Space Engineering.</t>
  </si>
  <si>
    <t>Aerospace, Aeronautical and Astronautical/Space Engineering.</t>
  </si>
  <si>
    <t>Aerospace, Aeronautical, and Astronautical/Space Engineering, General.</t>
  </si>
  <si>
    <t>Astronautical Engineering.</t>
  </si>
  <si>
    <t>Aerospace, Aeronautical, and Astronautical/Space Engineering, Other.</t>
  </si>
  <si>
    <t>Agricultural Engineering.</t>
  </si>
  <si>
    <t>Architectural Engineering.</t>
  </si>
  <si>
    <t>Biomedical/Medical Engineering.</t>
  </si>
  <si>
    <t>Bioengineering and Biomedical Engineering.</t>
  </si>
  <si>
    <t>Ceramic Sciences and Engineering.</t>
  </si>
  <si>
    <t>Chemical Engineering.</t>
  </si>
  <si>
    <t>Chemical and Biomolecular Engineering.</t>
  </si>
  <si>
    <t>Chemical Engineering, Other.</t>
  </si>
  <si>
    <t>Civil Engineering.</t>
  </si>
  <si>
    <t>Civil Engineering, General.</t>
  </si>
  <si>
    <t>Geotechnical and Geoenvironmental Engineering.</t>
  </si>
  <si>
    <t>Structural Engineering.</t>
  </si>
  <si>
    <t>Transportation and Highway Engineering.</t>
  </si>
  <si>
    <t>Water Resources Engineering.</t>
  </si>
  <si>
    <t>Civil Engineering, Other.</t>
  </si>
  <si>
    <t>Computer Engineering.</t>
  </si>
  <si>
    <t>Computer Engineering, General.</t>
  </si>
  <si>
    <t>Computer Hardware Engineering.</t>
  </si>
  <si>
    <t>Computer Software Engineering.</t>
  </si>
  <si>
    <t>Computer Engineering, Other.</t>
  </si>
  <si>
    <t>Electrical, Electronics and Communications Engineering.</t>
  </si>
  <si>
    <t>Electrical, Electronics, and Communications Engineering.</t>
  </si>
  <si>
    <t>Electrical and Electronics Engineering</t>
  </si>
  <si>
    <t>Electrical and Electronics Engineering.</t>
  </si>
  <si>
    <t>Laser and Optical Engineering.</t>
  </si>
  <si>
    <t>Telecommunications Engineering.</t>
  </si>
  <si>
    <t>Electrical, Electronics and Communications Engineering, Other.</t>
  </si>
  <si>
    <t>Electrical, Electronics, and Communications Engineering, Other.</t>
  </si>
  <si>
    <t>Engineering Mechanics.</t>
  </si>
  <si>
    <t>Engineering Physics.</t>
  </si>
  <si>
    <t>Engineering Physics/Applied Physics.</t>
  </si>
  <si>
    <t>Engineering Science.</t>
  </si>
  <si>
    <t>Environmental/Environmental Health Engineering.</t>
  </si>
  <si>
    <t>Materials Engineering</t>
  </si>
  <si>
    <t>Materials Engineering.</t>
  </si>
  <si>
    <t>Mechanical Engineering.</t>
  </si>
  <si>
    <t>Metallurgical Engineering.</t>
  </si>
  <si>
    <t>Mining and Mineral Engineering.</t>
  </si>
  <si>
    <t>Naval Architecture and Marine Engineering.</t>
  </si>
  <si>
    <t>Nuclear Engineering.</t>
  </si>
  <si>
    <t>Ocean Engineering.</t>
  </si>
  <si>
    <t>Petroleum Engineering.</t>
  </si>
  <si>
    <t>Systems Engineering.</t>
  </si>
  <si>
    <t>Textile Sciences and Engineering.</t>
  </si>
  <si>
    <t>Polymer/Plastics Engineering.</t>
  </si>
  <si>
    <t>Construction Engineering.</t>
  </si>
  <si>
    <t>Forest Engineering.</t>
  </si>
  <si>
    <t>Industrial Engineering.</t>
  </si>
  <si>
    <t>Manufacturing Engineering.</t>
  </si>
  <si>
    <t>Operations Research.</t>
  </si>
  <si>
    <t>Surveying Engineering.</t>
  </si>
  <si>
    <t>Geological/Geophysical Engineering.</t>
  </si>
  <si>
    <t>Paper Science and Engineering.</t>
  </si>
  <si>
    <t>Electromechanical Engineering.</t>
  </si>
  <si>
    <t>Mechatronics, Robotics, and Automation Engineering.</t>
  </si>
  <si>
    <t>Biochemical Engineering.</t>
  </si>
  <si>
    <t>Engineering Chemistry.</t>
  </si>
  <si>
    <t>Biological/Biosystems Engineering.</t>
  </si>
  <si>
    <t>Electrical and Computer Engineering.</t>
  </si>
  <si>
    <t>Energy Systems Engineering.</t>
  </si>
  <si>
    <t>Energy Systems Engineering, General.</t>
  </si>
  <si>
    <t>Power Plant Engineering.</t>
  </si>
  <si>
    <t>Energy Systems Engineering, Other.</t>
  </si>
  <si>
    <t>Engineering, Other.</t>
  </si>
  <si>
    <t>ENGINEERING TECHNOLOGIES AND ENGINEERING-RELATED FIELDS.</t>
  </si>
  <si>
    <t>ENGINEERING/ENGINEERING-RELATED TECHNOLOGIES/TECHNICIANS.</t>
  </si>
  <si>
    <t>Engineering Technology, General.</t>
  </si>
  <si>
    <t>Engineering Technologies/Technicians, General.</t>
  </si>
  <si>
    <t>Applied Engineering Technologies/Technicians.</t>
  </si>
  <si>
    <t>Architectural Engineering Technologies/Technicians.</t>
  </si>
  <si>
    <t>Architectural Engineering Technology/Technician.</t>
  </si>
  <si>
    <t>Civil Engineering Technologies/Technicians.</t>
  </si>
  <si>
    <t>Civil Engineering Technology/Technician.</t>
  </si>
  <si>
    <t>Electrical Engineering Technologies/Technicians.</t>
  </si>
  <si>
    <t>Electrical/Electronic Engineering Technologies/Technicians.</t>
  </si>
  <si>
    <t>Electrical, Electronic and Communications Engineering Technology/Technician.</t>
  </si>
  <si>
    <t>Electrical, Electronic, and Communications Engineering Technology/Technician.</t>
  </si>
  <si>
    <t>Laser and Optical Technology/Technician.</t>
  </si>
  <si>
    <t>Telecommunications Technology/Technician.</t>
  </si>
  <si>
    <t>Integrated Circuit Design.</t>
  </si>
  <si>
    <t>Integrated Circuit Design Technology/Technician.</t>
  </si>
  <si>
    <t>Audio Engineering Technology/Technician.</t>
  </si>
  <si>
    <t>Electrical and Electronic Engineering Technologies/Technicians, Other.</t>
  </si>
  <si>
    <t>Electrical/Electronic Engineering Technologies/Technicians, Other.</t>
  </si>
  <si>
    <t>Electromechanical Instrumentation and Maintenance Technologies/Technicians.</t>
  </si>
  <si>
    <t>Electromechanical Technologies/Technicians.</t>
  </si>
  <si>
    <t>Biomedical Technology/Technician.</t>
  </si>
  <si>
    <t>Electromechanical Technology/Electromechanical Engineering Technology.</t>
  </si>
  <si>
    <t>Electromechanical/Electromechanical Engineering Technology/Technician.</t>
  </si>
  <si>
    <t>Instrumentation Technology/Technician.</t>
  </si>
  <si>
    <t>Robotics Technology/Technician.</t>
  </si>
  <si>
    <t>Automation Engineer Technology/Technician.</t>
  </si>
  <si>
    <t>Mechatronics, Robotics, and Automation Engineering Technology/Technician.</t>
  </si>
  <si>
    <t>Electromechanical and Instrumentation and Maintenance Technologies/Technicians, Other.</t>
  </si>
  <si>
    <t>Electromechanical Technologies/Technicians, Other.</t>
  </si>
  <si>
    <t>Environmental Control Technologies/Technicians.</t>
  </si>
  <si>
    <t>Heating, Ventilation, Air Conditioning and Refrigeration Engineering Technology/Technician.</t>
  </si>
  <si>
    <t>Energy Management and Systems Technology/Technician.</t>
  </si>
  <si>
    <t>Energy Systems Technology/Technician.</t>
  </si>
  <si>
    <t>Solar Energy Technology/Technician.</t>
  </si>
  <si>
    <t>Water Quality and Wastewater Treatment Management and Recycling Technology/Technician.</t>
  </si>
  <si>
    <t>Environmental Engineering Technology/Environmental Technology.</t>
  </si>
  <si>
    <t>Environmental/Environmental Engineering Technology/Technician.</t>
  </si>
  <si>
    <t>Hazardous Materials Management and Waste Technology/Technician.</t>
  </si>
  <si>
    <t>Environmental Control Technologies/Technicians, Other.</t>
  </si>
  <si>
    <t>Industrial Production Technologies/Technicians.</t>
  </si>
  <si>
    <t>Plastics and Polymer Engineering Technology/Technician.</t>
  </si>
  <si>
    <t>Metallurgical Technology/Technician.</t>
  </si>
  <si>
    <t>Industrial Technology/Technician.</t>
  </si>
  <si>
    <t>Manufacturing Engineering Technology/Technician.</t>
  </si>
  <si>
    <t>Welding Engineering Technology/Technician.</t>
  </si>
  <si>
    <t>Chemical Engineering Technology/Technician.</t>
  </si>
  <si>
    <t>Semiconductor Manufacturing Technology.</t>
  </si>
  <si>
    <t>Semiconductor Manufacturing Technology/Technician.</t>
  </si>
  <si>
    <t>Composite Materials Technology/Technician.</t>
  </si>
  <si>
    <t>Industrial Production Technologies/Technicians, Other.</t>
  </si>
  <si>
    <t>Quality Control and Safety Technologies/Technicians.</t>
  </si>
  <si>
    <t>Occupational Safety and Health Technology/Technician.</t>
  </si>
  <si>
    <t>Quality Control Technology/Technician.</t>
  </si>
  <si>
    <t>Industrial Safety Technology/Technician.</t>
  </si>
  <si>
    <t>Hazardous Materials Information Systems Technology/Technician.</t>
  </si>
  <si>
    <t>Process Safety Technology/Technician.</t>
  </si>
  <si>
    <t>Quality Control and Safety Technologies/Technicians, Other.</t>
  </si>
  <si>
    <t>Mechanical Engineering Related Technologies/Technicians.</t>
  </si>
  <si>
    <t>Aeronautical/Aerospace Engineering Technology/Technician.</t>
  </si>
  <si>
    <t>Automotive Engineering Technology/Technician.</t>
  </si>
  <si>
    <t>Mechanical Engineering/Mechanical Technology/Technician.</t>
  </si>
  <si>
    <t>Mechanical/Mechanical Engineering Technology/Technician.</t>
  </si>
  <si>
    <t>Marine Engineering Technology/Technician.</t>
  </si>
  <si>
    <t>Motorsports Engineering Technology/Technician.</t>
  </si>
  <si>
    <t>Mechanical Engineering Related Technologies/Technicians, Other.</t>
  </si>
  <si>
    <t>Mining and Petroleum Technologies/Technicians.</t>
  </si>
  <si>
    <t>Mining Technology/Technician.</t>
  </si>
  <si>
    <t>Petroleum Technology/Technician.</t>
  </si>
  <si>
    <t>Mining and Petroleum Technologies/Technicians, Other.</t>
  </si>
  <si>
    <t>Construction Engineering Technologies.</t>
  </si>
  <si>
    <t>Construction Engineering Technology/Technician.</t>
  </si>
  <si>
    <t>Engineering-Related Technologies.</t>
  </si>
  <si>
    <t>Engineering-Related Technologies/Technicians.</t>
  </si>
  <si>
    <t>Surveying Technology/Surveying.</t>
  </si>
  <si>
    <t>Hydraulics and Fluid Power Technology/Technician.</t>
  </si>
  <si>
    <t>Engineering-Related Technologies, Other.</t>
  </si>
  <si>
    <t>Engineering-Related Technologies/Technicians, Other.</t>
  </si>
  <si>
    <t>Computer Engineering Technologies/Technicians.</t>
  </si>
  <si>
    <t>Computer Engineering Technology/Technician.</t>
  </si>
  <si>
    <t>Computer Technology/Computer Systems Technology.</t>
  </si>
  <si>
    <t>Computer/Computer Systems Technology/Technician.</t>
  </si>
  <si>
    <t>Computer Hardware Technology/Technician.</t>
  </si>
  <si>
    <t>Computer Software Technology/Technician.</t>
  </si>
  <si>
    <t>Computer Engineering Technologies/Technicians, Other.</t>
  </si>
  <si>
    <t>Drafting/Design Engineering Technologies/Technicians.</t>
  </si>
  <si>
    <t>Drafting and Design Technology/Technician, General.</t>
  </si>
  <si>
    <t>CAD/CADD Drafting and/or Design Technology/Technician.</t>
  </si>
  <si>
    <t>Architectural Drafting and Architectural CAD/CADD.</t>
  </si>
  <si>
    <t>Civil Drafting and Civil Engineering CAD/CADD.</t>
  </si>
  <si>
    <t>Electrical/Electronics Drafting and Electrical/Electronics CAD/CADD.</t>
  </si>
  <si>
    <t>Mechanical Drafting and Mechanical Drafting CAD/CADD.</t>
  </si>
  <si>
    <t>3-D Modeling and Design Technology/Technician.</t>
  </si>
  <si>
    <t>Drafting/Design Engineering Technologies/Technicians, Other.</t>
  </si>
  <si>
    <t>Nuclear Engineering Technologies/Technicians.</t>
  </si>
  <si>
    <t>Nuclear Engineering Technology/Technician.</t>
  </si>
  <si>
    <t>Engineering-Related Fields.</t>
  </si>
  <si>
    <t>Engineering/Industrial Management.</t>
  </si>
  <si>
    <t>Engineering Design.</t>
  </si>
  <si>
    <t>Packaging Science.</t>
  </si>
  <si>
    <t>Engineering-Related Fields, Other.</t>
  </si>
  <si>
    <t>Nanotechnology.</t>
  </si>
  <si>
    <t>Energy Systems Technologies/Technicians.</t>
  </si>
  <si>
    <t>Power Plant Technology/Technician.</t>
  </si>
  <si>
    <t>Wind Energy Technology/Technician.</t>
  </si>
  <si>
    <t>Hydroelectric Energy Technology/Technician.</t>
  </si>
  <si>
    <t>Geothermal Energy Technology/Technician.</t>
  </si>
  <si>
    <t>Energy Systems Technologies/Technicians, Other.</t>
  </si>
  <si>
    <t>Engineering Technologies/Technicians, Other.</t>
  </si>
  <si>
    <t>Engineering/Engineering-Related Technologies/Technicians, Other.</t>
  </si>
  <si>
    <t>Engineering Technologies and Engineering-Related Fields, Other.</t>
  </si>
  <si>
    <t>FOREIGN LANGUAGES, LITERATURES, AND LINGUISTICS.</t>
  </si>
  <si>
    <t>Linguistic, Comparative, and Related Language Studies and Services.</t>
  </si>
  <si>
    <t>Foreign Languages and Literatures, General.</t>
  </si>
  <si>
    <t>Linguistics.</t>
  </si>
  <si>
    <t>Language Interpretation and Translation.</t>
  </si>
  <si>
    <t>Comparative Literature.</t>
  </si>
  <si>
    <t>Applied Linguistics.</t>
  </si>
  <si>
    <t>Linguistic, Comparative, and Related Language Studies and Services, Other.</t>
  </si>
  <si>
    <t>African Languages, Literatures, and Linguistics.</t>
  </si>
  <si>
    <t>East Asian Languages, Literatures, and Linguistics.</t>
  </si>
  <si>
    <t>East Asian Languages, Literatures, and Linguistics, General.</t>
  </si>
  <si>
    <t>Chinese Language and Literature.</t>
  </si>
  <si>
    <t>Japanese Language and Literature.</t>
  </si>
  <si>
    <t>Korean Language and Literature.</t>
  </si>
  <si>
    <t>Tibetan Language and Literature.</t>
  </si>
  <si>
    <t>East Asian Languages, Literatures, and Linguistics, Other.</t>
  </si>
  <si>
    <t>Slavic, Baltic and Albanian Languages, Literatures, and Linguistics.</t>
  </si>
  <si>
    <t>Slavic Languages, Literatures, and Linguistics, General.</t>
  </si>
  <si>
    <t>Baltic Languages, Literatures, and Linguistics.</t>
  </si>
  <si>
    <t>Russian Language and Literature.</t>
  </si>
  <si>
    <t>Albanian Language and Literature.</t>
  </si>
  <si>
    <t>Bulgarian Language and Literature.</t>
  </si>
  <si>
    <t>Czech Language and Literature.</t>
  </si>
  <si>
    <t>Polish Language and Literature.</t>
  </si>
  <si>
    <t>Bosnian, Serbian, and Croatian Languages and Literatures.</t>
  </si>
  <si>
    <t>Slovak Language and Literature.</t>
  </si>
  <si>
    <t>Ukrainian Language and Literature.</t>
  </si>
  <si>
    <t>Slavic, Baltic, and Albanian Languages, Literatures, and Linguistics, Other.</t>
  </si>
  <si>
    <t>Germanic Languages, Literatures, and Linguistics.</t>
  </si>
  <si>
    <t>Germanic Languages, Literatures, and Linguistics, General.</t>
  </si>
  <si>
    <t>German Language and Literature.</t>
  </si>
  <si>
    <t>Scandinavian Languages, Literatures, and Linguistics.</t>
  </si>
  <si>
    <t>Danish Language and Literature.</t>
  </si>
  <si>
    <t>Dutch/Flemish Language and Literature.</t>
  </si>
  <si>
    <t>Norwegian Language and Literature.</t>
  </si>
  <si>
    <t>Swedish Language and Literature.</t>
  </si>
  <si>
    <t>Germanic Languages, Literatures, and Linguistics, Other.</t>
  </si>
  <si>
    <t>Modern Greek Language and Literature.</t>
  </si>
  <si>
    <t>South Asian Languages, Literatures, and Linguistics.</t>
  </si>
  <si>
    <t>South Asian Languages, Literatures, and Linguistics, General.</t>
  </si>
  <si>
    <t>Hindi Language and Literature.</t>
  </si>
  <si>
    <t>Sanskrit and Classical Indian Languages, Literatures, and Linguistics.</t>
  </si>
  <si>
    <t>Bengali Language and Literature.</t>
  </si>
  <si>
    <t>Punjabi Language and Literature.</t>
  </si>
  <si>
    <t>Tamil Language and Literature.</t>
  </si>
  <si>
    <t>Urdu Language and Literature.</t>
  </si>
  <si>
    <t>South Asian Languages, Literatures, and Linguistics, Other.</t>
  </si>
  <si>
    <t>Iranian/Persian Languages, Literatures, and Linguistics.</t>
  </si>
  <si>
    <t>Iranian Languages, Literatures, and Linguistics.</t>
  </si>
  <si>
    <t>Romance Languages, Literatures, and Linguistics.</t>
  </si>
  <si>
    <t>Romance Languages, Literatures, and Linguistics, General.</t>
  </si>
  <si>
    <t>French Language and Literature.</t>
  </si>
  <si>
    <t>Italian Language and Literature.</t>
  </si>
  <si>
    <t>Portuguese Language and Literature.</t>
  </si>
  <si>
    <t>Spanish Language and Literature.</t>
  </si>
  <si>
    <t>Romanian Language and Literature.</t>
  </si>
  <si>
    <t>Catalan Language and Literature.</t>
  </si>
  <si>
    <t>Hispanic and Latin American Languages, Literatures, and Linguistics, General.</t>
  </si>
  <si>
    <t>Romance Languages, Literatures, and Linguistics, Other.</t>
  </si>
  <si>
    <t>American Indian/Native American Languages, Literatures, and Linguistics.</t>
  </si>
  <si>
    <t>Middle/Near Eastern and Semitic Languages, Literatures, and Linguistics.</t>
  </si>
  <si>
    <t>Middle/Near Eastern and Semitic Languages, Literatures, and Linguistics, General.</t>
  </si>
  <si>
    <t>Arabic Language and Literature.</t>
  </si>
  <si>
    <t>Hebrew Language and Literature.</t>
  </si>
  <si>
    <t>Ancient Near Eastern and Biblical Languages, Literatures, and Linguistics.</t>
  </si>
  <si>
    <t>Middle/Near Eastern and Semitic Languages, Literatures, and Linguistics, Other.</t>
  </si>
  <si>
    <t>Classics and Classical Languages, Literatures, and Linguistics.</t>
  </si>
  <si>
    <t>Classics and Classical Languages, Literatures, and Linguistics, General.</t>
  </si>
  <si>
    <t>Ancient/Classical Greek Language and Literature.</t>
  </si>
  <si>
    <t>Latin Language and Literature.</t>
  </si>
  <si>
    <t>Classics and Classical Languages, Literatures, and Linguistics, Other.</t>
  </si>
  <si>
    <t>Celtic Languages, Literatures, and Linguistics.</t>
  </si>
  <si>
    <t>Southeast Asian and Australasian/Pacific Languages, Literatures, and Linguistics.</t>
  </si>
  <si>
    <t>Southeast Asian Languages, Literatures, and Linguistics, General.</t>
  </si>
  <si>
    <t>Australian/Oceanic/Pacific Languages, Literatures, and Linguistics.</t>
  </si>
  <si>
    <t>Indonesian/Malay Languages and Literatures.</t>
  </si>
  <si>
    <t>Burmese Language and Literature.</t>
  </si>
  <si>
    <t>Filipino/Tagalog Language and Literature.</t>
  </si>
  <si>
    <t>Khmer/Cambodian Language and Literature.</t>
  </si>
  <si>
    <t>Lao Language and Literature.</t>
  </si>
  <si>
    <t>Thai Language and Literature.</t>
  </si>
  <si>
    <t>Vietnamese Language and Literature.</t>
  </si>
  <si>
    <t>Hawaiian Language and Literature.</t>
  </si>
  <si>
    <t>Southeast Asian and Australasian/Pacific Languages, Literatures, and Linguistics, Other.</t>
  </si>
  <si>
    <t>Turkic, Uralic-Altaic, Caucasian, and Central Asian Languages, Literatures, and Linguistics.</t>
  </si>
  <si>
    <t>Turkish Language and Literature.</t>
  </si>
  <si>
    <t>Uralic Languages, Literatures, and Linguistics.</t>
  </si>
  <si>
    <t>Hungarian/Magyar Language and Literature.</t>
  </si>
  <si>
    <t>Mongolian Language and Literature.</t>
  </si>
  <si>
    <t>Turkic, Uralic-Altaic, Caucasian, and Central Asian Languages, Literatures, and Linguistics, Other.</t>
  </si>
  <si>
    <t>American Sign Language.</t>
  </si>
  <si>
    <t>American Sign Language (ASL).</t>
  </si>
  <si>
    <t>Linguistics of ASL and Other Sign Languages.</t>
  </si>
  <si>
    <t>Sign Language Interpretation and Translation.</t>
  </si>
  <si>
    <t>American Sign Language, Other.</t>
  </si>
  <si>
    <t>Second Language Learning.</t>
  </si>
  <si>
    <t>English as a Second Language.</t>
  </si>
  <si>
    <t>Armenian Languages, Literatures, and Linguistics.</t>
  </si>
  <si>
    <t>Armenian Language and Literature.</t>
  </si>
  <si>
    <t>Foreign Languages, Literatures, and Linguistics, Other.</t>
  </si>
  <si>
    <t>FAMILY AND CONSUMER SCIENCES/HUMAN SCIENCES.</t>
  </si>
  <si>
    <t>Work and Family Studies.</t>
  </si>
  <si>
    <t>Family and Consumer Sciences/Human Sciences, General.</t>
  </si>
  <si>
    <t>Family and Consumer Sciences/Human Sciences Business Services.</t>
  </si>
  <si>
    <t>Business Family and Consumer Sciences/Human Sciences.</t>
  </si>
  <si>
    <t>Family and Consumer Sciences/Human Sciences Communication.</t>
  </si>
  <si>
    <t>Consumer Merchandising/Retailing Management.</t>
  </si>
  <si>
    <t>Family and Consumer Sciences/Human Sciences Business Services, Other.</t>
  </si>
  <si>
    <t>Family and Consumer Economics and Related Studies.</t>
  </si>
  <si>
    <t>Family Resource Management Studies, General.</t>
  </si>
  <si>
    <t>Consumer Economics.</t>
  </si>
  <si>
    <t>Consumer Services and Advocacy.</t>
  </si>
  <si>
    <t>Family and Consumer Economics and Related Services, Other.</t>
  </si>
  <si>
    <t>Foods, Nutrition, and Related Services.</t>
  </si>
  <si>
    <t>Foods, Nutrition, and Wellness Studies, General.</t>
  </si>
  <si>
    <t>Human Nutrition.</t>
  </si>
  <si>
    <t>Foodservice Systems Administration/Management.</t>
  </si>
  <si>
    <t>Foods, Nutrition, and Related Services, Other.</t>
  </si>
  <si>
    <t>Housing and Human Environments.</t>
  </si>
  <si>
    <t>Housing and Human Environments, General.</t>
  </si>
  <si>
    <t>Facilities Planning and Management.</t>
  </si>
  <si>
    <t>Home Furnishings and Equipment Installers.</t>
  </si>
  <si>
    <t>Housing and Human Environments, Other.</t>
  </si>
  <si>
    <t>Human Development, Family Studies, and Related Services.</t>
  </si>
  <si>
    <t>Human Development and Family Studies, General.</t>
  </si>
  <si>
    <t>Adult Development and Aging.</t>
  </si>
  <si>
    <t>Family Systems.</t>
  </si>
  <si>
    <t>Child Development.</t>
  </si>
  <si>
    <t>Family and Community Services.</t>
  </si>
  <si>
    <t>Child Care and Support Services Management.</t>
  </si>
  <si>
    <t>Child Care Provider/Assistant.</t>
  </si>
  <si>
    <t>Developmental Services Worker.</t>
  </si>
  <si>
    <t>Early Childhood and Family Studies.</t>
  </si>
  <si>
    <t>Parent Education Services.</t>
  </si>
  <si>
    <t>Human Development, Family Studies, and Related Services, Other.</t>
  </si>
  <si>
    <t>Apparel and Textiles.</t>
  </si>
  <si>
    <t>Apparel and Textiles, General.</t>
  </si>
  <si>
    <t>Apparel and Textile Manufacture.</t>
  </si>
  <si>
    <t>Textile Science.</t>
  </si>
  <si>
    <t>Apparel and Textile Marketing Management.</t>
  </si>
  <si>
    <t>Fashion and Fabric Consultant.</t>
  </si>
  <si>
    <t>Apparel and Textiles, Other.</t>
  </si>
  <si>
    <t>Family and Consumer Sciences/Human Sciences, Other.</t>
  </si>
  <si>
    <t>RESERVED.</t>
  </si>
  <si>
    <t>LEGAL PROFESSIONS AND STUDIES.</t>
  </si>
  <si>
    <t>Non-Professional General Legal Studies (Undergraduate).</t>
  </si>
  <si>
    <t>Non-Professional Legal Studies.</t>
  </si>
  <si>
    <t>Legal Studies, General.</t>
  </si>
  <si>
    <t>Legal Studies.</t>
  </si>
  <si>
    <t>Pre-Law Studies.</t>
  </si>
  <si>
    <t>Non-Professional Legal Studies, Other.</t>
  </si>
  <si>
    <t>Law.</t>
  </si>
  <si>
    <t>Legal Research and Advanced Professional Studies.</t>
  </si>
  <si>
    <t>Advanced Legal Research/Studies, General.</t>
  </si>
  <si>
    <t>Programs for Foreign Lawyers.</t>
  </si>
  <si>
    <t>American/U.S. Law/Legal Studies/Jurisprudence.</t>
  </si>
  <si>
    <t>Canadian Law/Legal Studies/Jurisprudence.</t>
  </si>
  <si>
    <t>Banking, Corporate, Finance, and Securities Law.</t>
  </si>
  <si>
    <t>Comparative Law.</t>
  </si>
  <si>
    <t>Energy, Environment, and Natural Resources Law.</t>
  </si>
  <si>
    <t>Health Law.</t>
  </si>
  <si>
    <t>International Law and Legal Studies.</t>
  </si>
  <si>
    <t>International Business, Trade, and Tax Law.</t>
  </si>
  <si>
    <t>Tax Law/Taxation.</t>
  </si>
  <si>
    <t>Intellectual Property Law.</t>
  </si>
  <si>
    <t>Patent Law.</t>
  </si>
  <si>
    <t>Agriculture Law.</t>
  </si>
  <si>
    <t>Arts and Entertainment Law.</t>
  </si>
  <si>
    <t>Compliance Law.</t>
  </si>
  <si>
    <t>Criminal Law and Procedure.</t>
  </si>
  <si>
    <t>Entrepreneurship Law.</t>
  </si>
  <si>
    <t>Family/Child/Elder Law.</t>
  </si>
  <si>
    <t>Human Resources Law.</t>
  </si>
  <si>
    <t>Insurance Law.</t>
  </si>
  <si>
    <t>Real Estate and Land Development Law.</t>
  </si>
  <si>
    <t>Transportation Law.</t>
  </si>
  <si>
    <t>Tribal/Indigenous Law.</t>
  </si>
  <si>
    <t>Legal Research and Advanced Professional Studies, Other.</t>
  </si>
  <si>
    <t>Legal Support Services.</t>
  </si>
  <si>
    <t>Legal Administrative Assistant/Secretary.</t>
  </si>
  <si>
    <t>Legal Assistant/Paralegal.</t>
  </si>
  <si>
    <t>Court Reporting/Court Reporter.</t>
  </si>
  <si>
    <t>Court Reporting and Captioning/Court Reporter.</t>
  </si>
  <si>
    <t>Court Interpreter.</t>
  </si>
  <si>
    <t>Scopist.</t>
  </si>
  <si>
    <t>Legal Support Services, Other.</t>
  </si>
  <si>
    <t>Legal Professions and Studies, Other.</t>
  </si>
  <si>
    <t>ENGLISH LANGUAGE AND LITERATURE/LETTERS.</t>
  </si>
  <si>
    <t>English Language and Literature, General.</t>
  </si>
  <si>
    <t>Rhetoric and Composition/Writing Studies.</t>
  </si>
  <si>
    <t>Writing, General.</t>
  </si>
  <si>
    <t>Creative Writing.</t>
  </si>
  <si>
    <t>Professional, Technical, Business, and Scientific Writing.</t>
  </si>
  <si>
    <t>Rhetoric and Composition.</t>
  </si>
  <si>
    <t>Rhetoric and Composition/Writing Studies, Other.</t>
  </si>
  <si>
    <t>Literature.</t>
  </si>
  <si>
    <t>General Literature.</t>
  </si>
  <si>
    <t>American Literature (United States).</t>
  </si>
  <si>
    <t>American Literature (Canadian).</t>
  </si>
  <si>
    <t>English Literature (British and Commonwealth).</t>
  </si>
  <si>
    <t>Children's and Adolescent Literature.</t>
  </si>
  <si>
    <t>Literature, Other.</t>
  </si>
  <si>
    <t>English Language and Literature/Letters, Other.</t>
  </si>
  <si>
    <t>LIBERAL ARTS AND SCIENCES, GENERAL STUDIES AND HUMANITIES.</t>
  </si>
  <si>
    <t>Liberal Arts and Sciences, General Studies and Humanities.</t>
  </si>
  <si>
    <t>Liberal Arts and Sciences/Liberal Studies.</t>
  </si>
  <si>
    <t>General Studies.</t>
  </si>
  <si>
    <t>Humanities/Humanistic Studies.</t>
  </si>
  <si>
    <t>Liberal Arts and Sciences, General Studies and Humanities, Other.</t>
  </si>
  <si>
    <t>LIBRARY SCIENCE.</t>
  </si>
  <si>
    <t>Library Science and Administration.</t>
  </si>
  <si>
    <t>Library and Information Science.</t>
  </si>
  <si>
    <t>Children and Youth Library Services.</t>
  </si>
  <si>
    <t>Archives/Archival Administration.</t>
  </si>
  <si>
    <t>Library Science and Administration, Other.</t>
  </si>
  <si>
    <t>Library and Archives Assisting.</t>
  </si>
  <si>
    <t>Library Science, Other.</t>
  </si>
  <si>
    <t>BIOLOGICAL AND BIOMEDICAL SCIENCES.</t>
  </si>
  <si>
    <t>Biology, General.</t>
  </si>
  <si>
    <t>Biology/Biological Sciences, General.</t>
  </si>
  <si>
    <t>Biomedical Sciences, General.</t>
  </si>
  <si>
    <t>Biochemistry, Biophysics and Molecular Biology.</t>
  </si>
  <si>
    <t>Biochemistry.</t>
  </si>
  <si>
    <t>Biophysics.</t>
  </si>
  <si>
    <t>Molecular Biology.</t>
  </si>
  <si>
    <t>Molecular Biochemistry.</t>
  </si>
  <si>
    <t>Molecular Biophysics.</t>
  </si>
  <si>
    <t>Structural Biology.</t>
  </si>
  <si>
    <t>Photobiology.</t>
  </si>
  <si>
    <t>Radiation Biology/Radiobiology.</t>
  </si>
  <si>
    <t>Biochemistry and Molecular Biology.</t>
  </si>
  <si>
    <t>Biochemistry, Biophysics and Molecular Biology, Other.</t>
  </si>
  <si>
    <t>Botany/Plant Biology.</t>
  </si>
  <si>
    <t>Plant Pathology/Phytopathology.</t>
  </si>
  <si>
    <t>Plant Physiology.</t>
  </si>
  <si>
    <t>Plant Molecular Biology.</t>
  </si>
  <si>
    <t>Botany/Plant Biology, Other.</t>
  </si>
  <si>
    <t>Cell/Cellular Biology and Anatomical Sciences.</t>
  </si>
  <si>
    <t>Cell/Cellular Biology and Histology.</t>
  </si>
  <si>
    <t>Anatomy.</t>
  </si>
  <si>
    <t>Developmental Biology and Embryology.</t>
  </si>
  <si>
    <t>Cell/Cellular and Molecular Biology.</t>
  </si>
  <si>
    <t>Cell Biology and Anatomy.</t>
  </si>
  <si>
    <t>Cell/Cellular Biology and Anatomical Sciences, Other.</t>
  </si>
  <si>
    <t>Microbiological Sciences and Immunology.</t>
  </si>
  <si>
    <t>Microbiology, General.</t>
  </si>
  <si>
    <t>Medical Microbiology and Bacteriology.</t>
  </si>
  <si>
    <t>Virology.</t>
  </si>
  <si>
    <t>Parasitology.</t>
  </si>
  <si>
    <t>Mycology.</t>
  </si>
  <si>
    <t>Immunology.</t>
  </si>
  <si>
    <t>Microbiology and Immunology.</t>
  </si>
  <si>
    <t>Infectious Disease and Global Health.</t>
  </si>
  <si>
    <t>Microbiological Sciences and Immunology, Other.</t>
  </si>
  <si>
    <t>Zoology/Animal Biology.</t>
  </si>
  <si>
    <t>Entomology.</t>
  </si>
  <si>
    <t>Animal Physiology.</t>
  </si>
  <si>
    <t>Animal Behavior and Ethology.</t>
  </si>
  <si>
    <t>Wildlife Biology.</t>
  </si>
  <si>
    <t>Zoology/Animal Biology, Other.</t>
  </si>
  <si>
    <t>Genetics.</t>
  </si>
  <si>
    <t>Genetics, General.</t>
  </si>
  <si>
    <t>Molecular Genetics.</t>
  </si>
  <si>
    <t>Microbial and Eukaryotic Genetics.</t>
  </si>
  <si>
    <t>Animal Genetics.</t>
  </si>
  <si>
    <t>Plant Genetics.</t>
  </si>
  <si>
    <t>Human/Medical Genetics.</t>
  </si>
  <si>
    <t>Genome Sciences/Genomics.</t>
  </si>
  <si>
    <t>Genetics, Other.</t>
  </si>
  <si>
    <t>Physiology, Pathology and Related Sciences.</t>
  </si>
  <si>
    <t>Physiology, General.</t>
  </si>
  <si>
    <t>Molecular Physiology.</t>
  </si>
  <si>
    <t>Cell Physiology.</t>
  </si>
  <si>
    <t>Endocrinology.</t>
  </si>
  <si>
    <t>Reproductive Biology.</t>
  </si>
  <si>
    <t>Cardiovascular Science.</t>
  </si>
  <si>
    <t>Exercise Physiology.</t>
  </si>
  <si>
    <t>Exercise Physiology and Kinesiology.</t>
  </si>
  <si>
    <t>Vision Science/Physiological Optics.</t>
  </si>
  <si>
    <t>Pathology/Experimental Pathology.</t>
  </si>
  <si>
    <t>Oncology and Cancer Biology.</t>
  </si>
  <si>
    <t>Aerospace Physiology and Medicine.</t>
  </si>
  <si>
    <t>Biomechanics.</t>
  </si>
  <si>
    <t>Physiology, Pathology, and Related Sciences, Other.</t>
  </si>
  <si>
    <t>Pharmacology and Toxicology.</t>
  </si>
  <si>
    <t>Pharmacology.</t>
  </si>
  <si>
    <t>Molecular Pharmacology.</t>
  </si>
  <si>
    <t>Neuropharmacology.</t>
  </si>
  <si>
    <t>Toxicology.</t>
  </si>
  <si>
    <t>Molecular Toxicology.</t>
  </si>
  <si>
    <t>Environmental Toxicology.</t>
  </si>
  <si>
    <t>Pharmacology and Toxicology, Other.</t>
  </si>
  <si>
    <t>Biomathematics, Bioinformatics, and Computational Biology.</t>
  </si>
  <si>
    <t>Biometry/Biometrics.</t>
  </si>
  <si>
    <t>Biostatistics.</t>
  </si>
  <si>
    <t>Bioinformatics.</t>
  </si>
  <si>
    <t>Computational Biology.</t>
  </si>
  <si>
    <t>Biomathematics, Bioinformatics, and Computational Biology, Other.</t>
  </si>
  <si>
    <t>Biotechnology.</t>
  </si>
  <si>
    <t>Ecology, Evolution, Systematics, and Population Biology.</t>
  </si>
  <si>
    <t>Ecology.</t>
  </si>
  <si>
    <t>Marine Biology and Biological Oceanography.</t>
  </si>
  <si>
    <t>Evolutionary Biology.</t>
  </si>
  <si>
    <t>Aquatic Biology/Limnology.</t>
  </si>
  <si>
    <t>Environmental Biology.</t>
  </si>
  <si>
    <t>Population Biology.</t>
  </si>
  <si>
    <t>Conservation Biology.</t>
  </si>
  <si>
    <t>Systematic Biology/Biological Systematics.</t>
  </si>
  <si>
    <t>Epidemiology.</t>
  </si>
  <si>
    <t>Ecology and Evolutionary Biology.</t>
  </si>
  <si>
    <t>Epidemiology and Biostatistics.</t>
  </si>
  <si>
    <t>Ecology, Evolution, Systematics and Population Biology, Other.</t>
  </si>
  <si>
    <t>Molecular Medicine.</t>
  </si>
  <si>
    <t>Neurobiology and Neurosciences.</t>
  </si>
  <si>
    <t>Neuroscience.</t>
  </si>
  <si>
    <t>Neuroanatomy.</t>
  </si>
  <si>
    <t>Neurobiology and Anatomy.</t>
  </si>
  <si>
    <t>Neurobiology and Behavior.</t>
  </si>
  <si>
    <t>Neurobiology and Neurosciences, Other.</t>
  </si>
  <si>
    <t>Biological and Biomedical Sciences, Other.</t>
  </si>
  <si>
    <t>MATHEMATICS AND STATISTICS.</t>
  </si>
  <si>
    <t>Mathematics.</t>
  </si>
  <si>
    <t>Mathematics, General.</t>
  </si>
  <si>
    <t>Algebra and Number Theory.</t>
  </si>
  <si>
    <t>Analysis and Functional Analysis.</t>
  </si>
  <si>
    <t>Geometry/Geometric Analysis.</t>
  </si>
  <si>
    <t>Topology and Foundations.</t>
  </si>
  <si>
    <t>Mathematics, Other.</t>
  </si>
  <si>
    <t>Applied Mathematics.</t>
  </si>
  <si>
    <t>Applied Mathematics, General.</t>
  </si>
  <si>
    <t>Computational Mathematics.</t>
  </si>
  <si>
    <t>Computational and Applied Mathematics.</t>
  </si>
  <si>
    <t>Financial Mathematics.</t>
  </si>
  <si>
    <t>Mathematical Biology.</t>
  </si>
  <si>
    <t>Applied Mathematics, Other.</t>
  </si>
  <si>
    <t>Statistics.</t>
  </si>
  <si>
    <t>Statistics, General.</t>
  </si>
  <si>
    <t>Mathematical Statistics and Probability.</t>
  </si>
  <si>
    <t>Mathematics and Statistics.</t>
  </si>
  <si>
    <t>Statistics, Other.</t>
  </si>
  <si>
    <t>Applied Statistics.</t>
  </si>
  <si>
    <t>Applied Statistics, General.</t>
  </si>
  <si>
    <t>Mathematics and Statistics, Other.</t>
  </si>
  <si>
    <t>MILITARY SCIENCE, LEADERSHIP AND OPERATIONAL ART.</t>
  </si>
  <si>
    <t>Air Force ROTC, Air Science and Operations.</t>
  </si>
  <si>
    <t>Air Force JROTC/ROTC.</t>
  </si>
  <si>
    <t>Air Force ROTC, Air Science and Operations, Other.</t>
  </si>
  <si>
    <t>Army ROTC, Military Science and Operations.</t>
  </si>
  <si>
    <t>Army JROTC/ROTC.</t>
  </si>
  <si>
    <t>Army ROTC, Military Science and Operations, Other.</t>
  </si>
  <si>
    <t>Navy/Marine ROTC, Naval Science and Operations.</t>
  </si>
  <si>
    <t>Navy/Marine Corps JROTC/ROTC.</t>
  </si>
  <si>
    <t>Navy/Marine Corps ROTC, Naval Science and Operations, Other.</t>
  </si>
  <si>
    <t>Military Science and Operational Studies.</t>
  </si>
  <si>
    <t>Air Science/Airpower Studies.</t>
  </si>
  <si>
    <t>Air and Space Operational Art and Science.</t>
  </si>
  <si>
    <t>Military Operational Art and Science/Studies.</t>
  </si>
  <si>
    <t>Advanced Military and Operational Studies.</t>
  </si>
  <si>
    <t>Naval Science and Operational Studies.</t>
  </si>
  <si>
    <t>Special, Irregular and Counterterrorist Operations.</t>
  </si>
  <si>
    <t>Military Science and Operational Studies, Other.</t>
  </si>
  <si>
    <t>Security Policy and Strategy.</t>
  </si>
  <si>
    <t>Strategic Studies, General.</t>
  </si>
  <si>
    <t>Military and Strategic Leadership.</t>
  </si>
  <si>
    <t>Military and International Operational Law.</t>
  </si>
  <si>
    <t>Joint Operations Planning and Strategy.</t>
  </si>
  <si>
    <t>Weapons of Mass Destruction.</t>
  </si>
  <si>
    <t>National Security Policy and Strategy, Other.</t>
  </si>
  <si>
    <t>Military Economics and Management.</t>
  </si>
  <si>
    <t>National Resource Strategy and Policy.</t>
  </si>
  <si>
    <t>Industry Studies.</t>
  </si>
  <si>
    <t>Military Installation Management.</t>
  </si>
  <si>
    <t>Military Economics and Management, Other.</t>
  </si>
  <si>
    <t>Military Science, Leadership and Operational Art, Other.</t>
  </si>
  <si>
    <t>MILITARY TECHNOLOGIES AND APPLIED SCIENCES.</t>
  </si>
  <si>
    <t>Intelligence, Command Control and Information Operations.</t>
  </si>
  <si>
    <t>Intelligence, General.</t>
  </si>
  <si>
    <t>Strategic Intelligence.</t>
  </si>
  <si>
    <t>Signal/Geospatial Intelligence.</t>
  </si>
  <si>
    <t>Command &amp; Control (C3, C4I) Systems and Operations.</t>
  </si>
  <si>
    <t>Information Operations/Joint Information Operations.</t>
  </si>
  <si>
    <t>Information/Psychological Warfare and Military Media Relations.</t>
  </si>
  <si>
    <t>Cyber/Electronic Operations and Warfare.</t>
  </si>
  <si>
    <t>Intelligence, Command Control and Information Operations, Other.</t>
  </si>
  <si>
    <t>Military Applied Sciences.</t>
  </si>
  <si>
    <t>Combat Systems Engineering.</t>
  </si>
  <si>
    <t>Directed Energy Systems.</t>
  </si>
  <si>
    <t>Engineering Acoustics.</t>
  </si>
  <si>
    <t>Low-Observables and Stealth Technology.</t>
  </si>
  <si>
    <t>Space Systems Operations.</t>
  </si>
  <si>
    <t>Operational Oceanography.</t>
  </si>
  <si>
    <t>Undersea Warfare.</t>
  </si>
  <si>
    <t>Military Applied Sciences, Other.</t>
  </si>
  <si>
    <t>Military Systems and Maintenance Technology.</t>
  </si>
  <si>
    <t>Aerospace Ground Equipment Technology.</t>
  </si>
  <si>
    <t>Air and Space Operations Technology.</t>
  </si>
  <si>
    <t>Aircraft Armament Systems Technology.</t>
  </si>
  <si>
    <t>Explosive Ordinance/Bomb Disposal.</t>
  </si>
  <si>
    <t>Joint Command/Task Force (C3, C4I) Systems.</t>
  </si>
  <si>
    <t>Military Information Systems Technology.</t>
  </si>
  <si>
    <t>Missile and Space Systems Technology.</t>
  </si>
  <si>
    <t>Munitions Systems/Ordinance Technology.</t>
  </si>
  <si>
    <t>Radar Communications and Systems Technology.</t>
  </si>
  <si>
    <t>Military Systems and Maintenance Technology, Other.</t>
  </si>
  <si>
    <t>Military Technology and Applied Sciences Management.</t>
  </si>
  <si>
    <t>Military Technologies and Applied Sciences, Other.</t>
  </si>
  <si>
    <t>MULTI/INTERDISCIPLINARY STUDIES.</t>
  </si>
  <si>
    <t>Multi-/Interdisciplinary Studies, General.</t>
  </si>
  <si>
    <t>Comprehensive Transition and Postsecondary (CTP) Program.</t>
  </si>
  <si>
    <t>Biological and Physical Sciences.</t>
  </si>
  <si>
    <t>Peace Studies and Conflict Resolution.</t>
  </si>
  <si>
    <t>Systems Science and Theory.</t>
  </si>
  <si>
    <t>Mathematics and Computer Science.</t>
  </si>
  <si>
    <t>Biopsychology.</t>
  </si>
  <si>
    <t>Gerontology.</t>
  </si>
  <si>
    <t>Historic Preservation and Conservation.</t>
  </si>
  <si>
    <t>Historic Preservation and Conservation, General.</t>
  </si>
  <si>
    <t>Cultural Resource Management and Policy Analysis.</t>
  </si>
  <si>
    <t>Historic Preservation and Conservation, Other.</t>
  </si>
  <si>
    <t>Medieval and Renaissance Studies.</t>
  </si>
  <si>
    <t>Museology/Museum Studies.</t>
  </si>
  <si>
    <t>Science, Technology and Society.</t>
  </si>
  <si>
    <t>Accounting and Computer Science.</t>
  </si>
  <si>
    <t>Behavioral Sciences.</t>
  </si>
  <si>
    <t>Natural Sciences.</t>
  </si>
  <si>
    <t>Nutrition Sciences.</t>
  </si>
  <si>
    <t>International/Global Studies.</t>
  </si>
  <si>
    <t>International/Globalization Studies.</t>
  </si>
  <si>
    <t>Holocaust and Related Studies.</t>
  </si>
  <si>
    <t>Classical and Ancient Studies.</t>
  </si>
  <si>
    <t>Ancient Studies/Civilization.</t>
  </si>
  <si>
    <t>Classical, Ancient Mediterranean and Near Eastern Studies and Archaeology.</t>
  </si>
  <si>
    <t>Classical, Ancient Mediterranean, and Near Eastern Studies and Archaeology.</t>
  </si>
  <si>
    <t>Classical and Ancient Studies, Other.</t>
  </si>
  <si>
    <t>Intercultural/Multicultural and Diversity Studies.</t>
  </si>
  <si>
    <t>Cognitive Science.</t>
  </si>
  <si>
    <t>Cognitive Science, General.</t>
  </si>
  <si>
    <t>Contemplative Studies/Inquiry.</t>
  </si>
  <si>
    <t>Cognitive Science, Other.</t>
  </si>
  <si>
    <t>Cultural Studies/Critical Theory and Analysis.</t>
  </si>
  <si>
    <t>Human Biology.</t>
  </si>
  <si>
    <t>Dispute Resolution.</t>
  </si>
  <si>
    <t>Maritime Studies.</t>
  </si>
  <si>
    <t>Computational Science.</t>
  </si>
  <si>
    <t>Human Computer Interaction.</t>
  </si>
  <si>
    <t>Marine Sciences.</t>
  </si>
  <si>
    <t>Sustainability Studies.</t>
  </si>
  <si>
    <t>Anthrozoology.</t>
  </si>
  <si>
    <t>Climate Science.</t>
  </si>
  <si>
    <t>Cultural Studies and Comparative Literature.</t>
  </si>
  <si>
    <t>Design for Human Health.</t>
  </si>
  <si>
    <t>Earth Systems Science.</t>
  </si>
  <si>
    <t>Economics and Computer Science.</t>
  </si>
  <si>
    <t>Economics and Foreign Language/Literature.</t>
  </si>
  <si>
    <t>Environmental Geosciences.</t>
  </si>
  <si>
    <t>Geoarcheaology.</t>
  </si>
  <si>
    <t>Geobiology.</t>
  </si>
  <si>
    <t>Geography and Environmental Studies.</t>
  </si>
  <si>
    <t>History and Language/Literature.</t>
  </si>
  <si>
    <t>History and Political Science.</t>
  </si>
  <si>
    <t>Linguistics and Anthropology.</t>
  </si>
  <si>
    <t>Linguistics and Computer Science.</t>
  </si>
  <si>
    <t>Mathematical Economics.</t>
  </si>
  <si>
    <t>Mathematics and Atmospheric/Oceanic Science.</t>
  </si>
  <si>
    <t>Philosophy, Politics, and Economics.</t>
  </si>
  <si>
    <t>Digital Humanities and Textual Studies.</t>
  </si>
  <si>
    <t>Digital Humanities and Textual Studies, General.</t>
  </si>
  <si>
    <t>Digital Humanities.</t>
  </si>
  <si>
    <t>Textual Studies.</t>
  </si>
  <si>
    <t>Digital Humanities and Textual Studies, Other.</t>
  </si>
  <si>
    <t>Thanatology.</t>
  </si>
  <si>
    <t>Data Science.</t>
  </si>
  <si>
    <t>Data Science, General.</t>
  </si>
  <si>
    <t>Data Science, Other.</t>
  </si>
  <si>
    <t>Data Analytics.</t>
  </si>
  <si>
    <t>Data Analytics, General.</t>
  </si>
  <si>
    <t>Business Analytics.</t>
  </si>
  <si>
    <t>Data Visualization.</t>
  </si>
  <si>
    <t>Financial Analytics.</t>
  </si>
  <si>
    <t>Data Analytics, Other.</t>
  </si>
  <si>
    <t>Multi/Interdisciplinary Studies, Other.</t>
  </si>
  <si>
    <t>Multi-/Interdisciplinary Studies, Other.</t>
  </si>
  <si>
    <t>PARKS, RECREATION, LEISURE, AND FITNESS STUDIES.</t>
  </si>
  <si>
    <t>PARKS, RECREATION, LEISURE, FITNESS, AND KINESIOLOGY.</t>
  </si>
  <si>
    <t>Parks, Recreation and Leisure Studies.</t>
  </si>
  <si>
    <t>Parks, Recreation, and Leisure Studies.</t>
  </si>
  <si>
    <t>Parks, Recreation and Leisure Facilities Management.</t>
  </si>
  <si>
    <t>Parks, Recreation, and Leisure Facilities Management.</t>
  </si>
  <si>
    <t>Parks, Recreation and Leisure Facilities Management, General.</t>
  </si>
  <si>
    <t>Parks, Recreation, and Leisure Facilities Management, General.</t>
  </si>
  <si>
    <t>Golf Course Operation and Grounds Management.</t>
  </si>
  <si>
    <t>Parks, Recreation and Leisure Facilities Management, Other.</t>
  </si>
  <si>
    <t>Parks, Recreation, and Leisure Facilities Management, Other.</t>
  </si>
  <si>
    <t>Health and Physical Education/Fitness.</t>
  </si>
  <si>
    <t>Sports, Kinesiology, and Physical Education/Fitness.</t>
  </si>
  <si>
    <t>Health and Physical Education/Fitness, General.</t>
  </si>
  <si>
    <t>Sports, Kinesiology, and Physical Education/Fitness, General.</t>
  </si>
  <si>
    <t>Sport and Fitness Administration/Management.</t>
  </si>
  <si>
    <t>Kinesiology and Exercise Science.</t>
  </si>
  <si>
    <t>Exercise Science and Kinesiology.</t>
  </si>
  <si>
    <t>Physical Fitness Technician.</t>
  </si>
  <si>
    <t>Sports Studies.</t>
  </si>
  <si>
    <t>Health and Physical Education/Fitness, Other.</t>
  </si>
  <si>
    <t>Sports, Kinesiology, and Physical Education/Fitness, Other.</t>
  </si>
  <si>
    <t>Outdoor Education.</t>
  </si>
  <si>
    <t>Parks, Recreation, Leisure, and Fitness Studies, Other.</t>
  </si>
  <si>
    <t>Parks, Recreation, Leisure, Fitness, and Kinesiology, Other.</t>
  </si>
  <si>
    <t>BASIC SKILLS AND DEVELOPMENTAL/REMEDIAL EDUCATION.</t>
  </si>
  <si>
    <t>Basic Skills and Developmental/Remedial Education.</t>
  </si>
  <si>
    <t>Basic Skills and Developmental/Remedial Education, General.</t>
  </si>
  <si>
    <t>Developmental/Remedial Mathematics.</t>
  </si>
  <si>
    <t>Job-Seeking/Changing Skills.</t>
  </si>
  <si>
    <t>Career Exploration/Awareness Skills.</t>
  </si>
  <si>
    <t>Developmental/Remedial English.</t>
  </si>
  <si>
    <t>Basic Computer Skills.</t>
  </si>
  <si>
    <t>Workforce Development and Training.</t>
  </si>
  <si>
    <t>Accent Reduction/Modification.</t>
  </si>
  <si>
    <t>Basic Skills and Developmental/Remedial Education, Other.</t>
  </si>
  <si>
    <t>General Exam Preparation and Test-Taking Skills.</t>
  </si>
  <si>
    <t>Exam Preparation and Test-Taking Skills, General.</t>
  </si>
  <si>
    <t>High School Equivalent Exam Preparation.</t>
  </si>
  <si>
    <t>Undergraduate Entrance/Placement Examination Preparation.</t>
  </si>
  <si>
    <t>Graduate/Professional School Entrance Examination Preparation.</t>
  </si>
  <si>
    <t>Professional Certification/Licensure Examination Preparation.</t>
  </si>
  <si>
    <t>General Exam Preparation and Test-Taking Skills, Other.</t>
  </si>
  <si>
    <t>CITIZENSHIP ACTIVITIES.</t>
  </si>
  <si>
    <t>Citizenship Activities.</t>
  </si>
  <si>
    <t>Citizenship Activities, General.</t>
  </si>
  <si>
    <t>American Citizenship Education.</t>
  </si>
  <si>
    <t>Community Awareness.</t>
  </si>
  <si>
    <t>Community Involvement.</t>
  </si>
  <si>
    <t>Canadian Citizenship Education.</t>
  </si>
  <si>
    <t>Personal Emergency Preparedness.</t>
  </si>
  <si>
    <t>Citizenship Activities, Other.</t>
  </si>
  <si>
    <t>HEALTH-RELATED KNOWLEDGE AND SKILLS.</t>
  </si>
  <si>
    <t>Health-Related Knowledge and Skills.</t>
  </si>
  <si>
    <t>Birthing and Parenting Knowledge and Skills.</t>
  </si>
  <si>
    <t>Personal Health Improvement and Maintenance.</t>
  </si>
  <si>
    <t>Addiction Prevention and Treatment.</t>
  </si>
  <si>
    <t>Meditation/Mind-Body Wellness.</t>
  </si>
  <si>
    <t>Health-Related Knowledge and Skills, Other.</t>
  </si>
  <si>
    <t>INTERPERSONAL AND SOCIAL SKILLS.</t>
  </si>
  <si>
    <t>Interpersonal and Social Skills.</t>
  </si>
  <si>
    <t>Interpersonal and Social Skills, General.</t>
  </si>
  <si>
    <t>Interpersonal Relationships Skills.</t>
  </si>
  <si>
    <t>Business and Social Skills.</t>
  </si>
  <si>
    <t>Life Coaching.</t>
  </si>
  <si>
    <t>Interpersonal Social Skills, Other.</t>
  </si>
  <si>
    <t>LEISURE AND RECREATIONAL ACTIVITIES.</t>
  </si>
  <si>
    <t>Leisure and Recreational Activities.</t>
  </si>
  <si>
    <t>Leisure and Recreational Activities, General.</t>
  </si>
  <si>
    <t>Handicrafts and Model-Making.</t>
  </si>
  <si>
    <t>Board, Card and Role-Playing Games.</t>
  </si>
  <si>
    <t>Home Maintenance and Improvement.</t>
  </si>
  <si>
    <t>Nature Appreciation.</t>
  </si>
  <si>
    <t>Pet Ownership and Care.</t>
  </si>
  <si>
    <t>Sports and Exercise.</t>
  </si>
  <si>
    <t>Travel and Exploration.</t>
  </si>
  <si>
    <t>Art.</t>
  </si>
  <si>
    <t>Collecting.</t>
  </si>
  <si>
    <t>Cooking and Other Domestic Skills.</t>
  </si>
  <si>
    <t>Computer Games and Programming Skills.</t>
  </si>
  <si>
    <t>Dancing.</t>
  </si>
  <si>
    <t>Music.</t>
  </si>
  <si>
    <t>Reading.</t>
  </si>
  <si>
    <t>Theatre/Theater.</t>
  </si>
  <si>
    <t>Writing.</t>
  </si>
  <si>
    <t>Aircraft Pilot (Private).</t>
  </si>
  <si>
    <t>Beekeeping.</t>
  </si>
  <si>
    <t>Firearms Training/Safety.</t>
  </si>
  <si>
    <t>Floral Design/Arrangement.</t>
  </si>
  <si>
    <t>Master Gardener/Gardening.</t>
  </si>
  <si>
    <t>Leisure and Recreational Activities, Other.</t>
  </si>
  <si>
    <t>Noncommercial Vehicle Operation.</t>
  </si>
  <si>
    <t>Automobile Driver Education.</t>
  </si>
  <si>
    <t>Helicopter Pilot (Private).</t>
  </si>
  <si>
    <t>Motorcycle Rider Education.</t>
  </si>
  <si>
    <t>Personal Watercraft/Boating Education.</t>
  </si>
  <si>
    <t>Remote Aircraft Pilot (Personal).</t>
  </si>
  <si>
    <t>Noncommercial Vehicle Operation, Other.</t>
  </si>
  <si>
    <t>PERSONAL AWARENESS AND SELF-IMPROVEMENT.</t>
  </si>
  <si>
    <t>Personal Awareness and Self-Improvement.</t>
  </si>
  <si>
    <t>Self-Awareness and Personal Assessment.</t>
  </si>
  <si>
    <t>Stress Management and Coping Skills.</t>
  </si>
  <si>
    <t>Personal Decision-Making Skills.</t>
  </si>
  <si>
    <t>Self-Esteem and Values Clarification.</t>
  </si>
  <si>
    <t>Investing/Wealth Management/Retirement Planning.</t>
  </si>
  <si>
    <t>Self-Defense.</t>
  </si>
  <si>
    <t>Personal Awareness and Self-Improvement, Other.</t>
  </si>
  <si>
    <t>PHILOSOPHY AND RELIGIOUS STUDIES.</t>
  </si>
  <si>
    <t>Philosophy and Religious Studies, General.</t>
  </si>
  <si>
    <t>Philosophy.</t>
  </si>
  <si>
    <t>Logic.</t>
  </si>
  <si>
    <t>Ethics.</t>
  </si>
  <si>
    <t>Applied and Professional Ethics.</t>
  </si>
  <si>
    <t>Philosophy, Other.</t>
  </si>
  <si>
    <t>Religion/Religious Studies.</t>
  </si>
  <si>
    <t>Buddhist Studies.</t>
  </si>
  <si>
    <t>Christian Studies.</t>
  </si>
  <si>
    <t>Hindu Studies.</t>
  </si>
  <si>
    <t>Islamic Studies.</t>
  </si>
  <si>
    <t>Jewish/Judaic Studies.</t>
  </si>
  <si>
    <t>Catholic Studies.</t>
  </si>
  <si>
    <t>Mormon Studies.</t>
  </si>
  <si>
    <t>Religion/Religious Studies, Other.</t>
  </si>
  <si>
    <t>Philosophy and Religious Studies, Other.</t>
  </si>
  <si>
    <t>THEOLOGY AND RELIGIOUS VOCATIONS.</t>
  </si>
  <si>
    <t>Bible/Biblical Studies.</t>
  </si>
  <si>
    <t>Missions/Missionary Studies and Missiology.</t>
  </si>
  <si>
    <t>Missions/Missionary Studies.</t>
  </si>
  <si>
    <t>Church Planting.</t>
  </si>
  <si>
    <t>Missions/Missionary Studies and Missiology, Other.</t>
  </si>
  <si>
    <t>Religious Education.</t>
  </si>
  <si>
    <t>Religious/Sacred Music.</t>
  </si>
  <si>
    <t>Religious Music and Worship.</t>
  </si>
  <si>
    <t>Worship Ministry.</t>
  </si>
  <si>
    <t>Religious Music and Worship, Other.</t>
  </si>
  <si>
    <t>Theological and Ministerial Studies.</t>
  </si>
  <si>
    <t>Theology/Theological Studies.</t>
  </si>
  <si>
    <t>Divinity/Ministry.</t>
  </si>
  <si>
    <t>Pre-Theology/Pre-Ministerial Studies.</t>
  </si>
  <si>
    <t>Rabbinical Studies.</t>
  </si>
  <si>
    <t>Talmudic Studies.</t>
  </si>
  <si>
    <t>Theological and Ministerial Studies, Other.</t>
  </si>
  <si>
    <t>Pastoral Counseling and Specialized Ministries.</t>
  </si>
  <si>
    <t>Pastoral Studies/Counseling.</t>
  </si>
  <si>
    <t>Youth Ministry.</t>
  </si>
  <si>
    <t>Urban Ministry.</t>
  </si>
  <si>
    <t>Women's Ministry.</t>
  </si>
  <si>
    <t>Lay Ministry.</t>
  </si>
  <si>
    <t>Chaplain/Chaplaincy Studies.</t>
  </si>
  <si>
    <t>Pastoral Counseling and Specialized Ministries, Other.</t>
  </si>
  <si>
    <t>Religious Institution Administration and Law.</t>
  </si>
  <si>
    <t>Religious Institution Administration and Management.</t>
  </si>
  <si>
    <t>Religious/Canon Law.</t>
  </si>
  <si>
    <t>Religious Institution Administration and Law, Other.</t>
  </si>
  <si>
    <t>Theology and Religious Vocations, Other.</t>
  </si>
  <si>
    <t>PHYSICAL SCIENCES.</t>
  </si>
  <si>
    <t>Physical Sciences.</t>
  </si>
  <si>
    <t>Physical Sciences, General.</t>
  </si>
  <si>
    <t>Astronomy and Astrophysics.</t>
  </si>
  <si>
    <t>Astronomy.</t>
  </si>
  <si>
    <t>Astrophysics.</t>
  </si>
  <si>
    <t>Planetary Astronomy and Science.</t>
  </si>
  <si>
    <t>Astronomy and Astrophysics, Other.</t>
  </si>
  <si>
    <t>Atmospheric Sciences and Meteorology.</t>
  </si>
  <si>
    <t>Atmospheric Sciences and Meteorology, General.</t>
  </si>
  <si>
    <t>Atmospheric Chemistry and Climatology.</t>
  </si>
  <si>
    <t>Atmospheric Physics and Dynamics.</t>
  </si>
  <si>
    <t>Meteorology.</t>
  </si>
  <si>
    <t>Atmospheric Sciences and Meteorology, Other.</t>
  </si>
  <si>
    <t>Chemistry.</t>
  </si>
  <si>
    <t>Chemistry, General.</t>
  </si>
  <si>
    <t>Analytical Chemistry.</t>
  </si>
  <si>
    <t>Inorganic Chemistry.</t>
  </si>
  <si>
    <t>Organic Chemistry.</t>
  </si>
  <si>
    <t>Physical Chemistry.</t>
  </si>
  <si>
    <t>Polymer Chemistry.</t>
  </si>
  <si>
    <t>Chemical Physics.</t>
  </si>
  <si>
    <t>Environmental Chemistry.</t>
  </si>
  <si>
    <t>Forensic Chemistry.</t>
  </si>
  <si>
    <t>Theoretical Chemistry.</t>
  </si>
  <si>
    <t>Cheminformatics/Chemistry Informatics.</t>
  </si>
  <si>
    <t>Chemistry, Other.</t>
  </si>
  <si>
    <t>Geological and Earth Sciences/Geosciences.</t>
  </si>
  <si>
    <t>Geology/Earth Science, General.</t>
  </si>
  <si>
    <t>Geochemistry.</t>
  </si>
  <si>
    <t>Geophysics and Seismology.</t>
  </si>
  <si>
    <t>Paleontology.</t>
  </si>
  <si>
    <t>Hydrology and Water Resources Science.</t>
  </si>
  <si>
    <t>Geochemistry and Petrology.</t>
  </si>
  <si>
    <t>Oceanography, Chemical and Physical.</t>
  </si>
  <si>
    <t>Geological and Earth Sciences/Geosciences, Other.</t>
  </si>
  <si>
    <t>Physics.</t>
  </si>
  <si>
    <t>Physics, General.</t>
  </si>
  <si>
    <t>Atomic/Molecular Physics.</t>
  </si>
  <si>
    <t>Elementary Particle Physics.</t>
  </si>
  <si>
    <t>Plasma and High-Temperature Physics.</t>
  </si>
  <si>
    <t>Nuclear Physics.</t>
  </si>
  <si>
    <t>Optics/Optical Sciences.</t>
  </si>
  <si>
    <t>Condensed Matter and Materials Physics.</t>
  </si>
  <si>
    <t>Acoustics.</t>
  </si>
  <si>
    <t>Theoretical and Mathematical Physics.</t>
  </si>
  <si>
    <t>Physics, Other.</t>
  </si>
  <si>
    <t>Materials Sciences.</t>
  </si>
  <si>
    <t>Materials Science.</t>
  </si>
  <si>
    <t>Materials Chemistry.</t>
  </si>
  <si>
    <t>Materials Sciences, Other.</t>
  </si>
  <si>
    <t>Physics and Astronomy.</t>
  </si>
  <si>
    <t>Physical Sciences, Other.</t>
  </si>
  <si>
    <t>SCIENCE TECHNOLOGIES/TECHNICIANS.</t>
  </si>
  <si>
    <t>Science Technologies/Technicians, General.</t>
  </si>
  <si>
    <t>Biology Technician/Biotechnology Laboratory Technician.</t>
  </si>
  <si>
    <t>Biology/Biotechnology Technologies/Technicians.</t>
  </si>
  <si>
    <t>Biology/Biotechnology Technology/Technician.</t>
  </si>
  <si>
    <t>Nuclear and Industrial Radiologic Technologies/Technicians.</t>
  </si>
  <si>
    <t>Industrial Radiologic Technology/Technician.</t>
  </si>
  <si>
    <t>Nuclear/Nuclear Power Technology/Technician.</t>
  </si>
  <si>
    <t>Nuclear and Industrial Radiologic Technologies/Technicians, Other.</t>
  </si>
  <si>
    <t>Physical Science Technologies/Technicians.</t>
  </si>
  <si>
    <t>Chemical Technology/Technician.</t>
  </si>
  <si>
    <t>Chemical Process Technology.</t>
  </si>
  <si>
    <t>Physical Science Technologies/Technicians, Other.</t>
  </si>
  <si>
    <t>Science Technologies/Technicians, Other.</t>
  </si>
  <si>
    <t>PSYCHOLOGY.</t>
  </si>
  <si>
    <t>Psychology, General.</t>
  </si>
  <si>
    <t>Research and Experimental Psychology.</t>
  </si>
  <si>
    <t>Cognitive Psychology and Psycholinguistics.</t>
  </si>
  <si>
    <t>Comparative Psychology.</t>
  </si>
  <si>
    <t>Developmental and Child Psychology.</t>
  </si>
  <si>
    <t>Experimental Psychology.</t>
  </si>
  <si>
    <t>Personality Psychology.</t>
  </si>
  <si>
    <t>Physiological Psychology/Psychobiology.</t>
  </si>
  <si>
    <t>Behavioral Neuroscience.</t>
  </si>
  <si>
    <t>Social Psychology.</t>
  </si>
  <si>
    <t>Psychometrics and Quantitative Psychology.</t>
  </si>
  <si>
    <t>Psychopharmacology.</t>
  </si>
  <si>
    <t>Developmental and Adolescent Psychology.</t>
  </si>
  <si>
    <t>Research and Experimental Psychology, Other.</t>
  </si>
  <si>
    <t>Clinical, Counseling and Applied Psychology.</t>
  </si>
  <si>
    <t>Clinical Psychology.</t>
  </si>
  <si>
    <t>Community Psychology.</t>
  </si>
  <si>
    <t>Counseling Psychology.</t>
  </si>
  <si>
    <t>Industrial and Organizational Psychology.</t>
  </si>
  <si>
    <t>School Psychology.</t>
  </si>
  <si>
    <t>Educational Psychology.</t>
  </si>
  <si>
    <t>Clinical Child Psychology.</t>
  </si>
  <si>
    <t>Environmental Psychology.</t>
  </si>
  <si>
    <t>Geropsychology.</t>
  </si>
  <si>
    <t>Health/Medical Psychology.</t>
  </si>
  <si>
    <t>Family Psychology.</t>
  </si>
  <si>
    <t>Forensic Psychology.</t>
  </si>
  <si>
    <t>Applied Psychology.</t>
  </si>
  <si>
    <t>Applied Behavior Analysis.</t>
  </si>
  <si>
    <t>Performance and Sport Psychology.</t>
  </si>
  <si>
    <t>Somatic Psychology.</t>
  </si>
  <si>
    <t>Transpersonal/Spiritual Psychology.</t>
  </si>
  <si>
    <t>Clinical, Counseling and Applied Psychology, Other.</t>
  </si>
  <si>
    <t>Psychology, Other.</t>
  </si>
  <si>
    <t>HOMELAND SECURITY, LAW ENFORCEMENT, FIREFIGHTING AND RELATED PROTECTIVE SERVICES.</t>
  </si>
  <si>
    <t>Criminal Justice and Corrections.</t>
  </si>
  <si>
    <t>Criminal Justice and Corrections, General.</t>
  </si>
  <si>
    <t>Corrections.</t>
  </si>
  <si>
    <t>Criminal Justice/Law Enforcement Administration.</t>
  </si>
  <si>
    <t>Criminal Justice/Safety Studies.</t>
  </si>
  <si>
    <t>Forensic Science and Technology.</t>
  </si>
  <si>
    <t>Criminal Justice/Police Science.</t>
  </si>
  <si>
    <t>Security and Loss Prevention Services.</t>
  </si>
  <si>
    <t>Juvenile Corrections.</t>
  </si>
  <si>
    <t>Criminalistics and Criminal Science.</t>
  </si>
  <si>
    <t>Securities Services Administration/Management.</t>
  </si>
  <si>
    <t>Corrections Administration.</t>
  </si>
  <si>
    <t>Law Enforcement Investigation and Interviewing.</t>
  </si>
  <si>
    <t>Law Enforcement Record-Keeping and Evidence Management.</t>
  </si>
  <si>
    <t>Cyber/Computer Forensics and Counterterrorism.</t>
  </si>
  <si>
    <t>Financial Forensics and Fraud Investigation.</t>
  </si>
  <si>
    <t>Law Enforcement Intelligence Analysis.</t>
  </si>
  <si>
    <t>Critical Incident Response/Special Police Operations.</t>
  </si>
  <si>
    <t>Protective Services Operations.</t>
  </si>
  <si>
    <t>Suspension and Debarment Investigation.</t>
  </si>
  <si>
    <t>Maritime Law Enforcement.</t>
  </si>
  <si>
    <t>Cultural/Archaelogical Resources Protection.</t>
  </si>
  <si>
    <t>Corrections and Criminal Justice, Other.</t>
  </si>
  <si>
    <t>Fire Protection.</t>
  </si>
  <si>
    <t>Fire Prevention and Safety Technology/Technician.</t>
  </si>
  <si>
    <t>Fire Services Administration.</t>
  </si>
  <si>
    <t>Fire Science/Fire-fighting.</t>
  </si>
  <si>
    <t>Fire Systems Technology.</t>
  </si>
  <si>
    <t>Fire/Arson Investigation and Prevention.</t>
  </si>
  <si>
    <t>Wildland/Forest Firefighting and Investigation.</t>
  </si>
  <si>
    <t>Fire Protection, Other.</t>
  </si>
  <si>
    <t>Homeland Security.</t>
  </si>
  <si>
    <t>Crisis/Emergency/Disaster Management.</t>
  </si>
  <si>
    <t>Critical Infrastructure Protection.</t>
  </si>
  <si>
    <t>Terrorism and Counterterrorism Operations.</t>
  </si>
  <si>
    <t>Homeland Security, Other.</t>
  </si>
  <si>
    <t>Security Science and Technology.</t>
  </si>
  <si>
    <t>Security Science and Technology, General.</t>
  </si>
  <si>
    <t>Cybersecurity Defense Strategy/Policy.</t>
  </si>
  <si>
    <t>Geospatial Intelligence.</t>
  </si>
  <si>
    <t>Security Science and Technology, Other.</t>
  </si>
  <si>
    <t>Homeland Security, Law Enforcement, Firefighting and Related Protective Services, Other.</t>
  </si>
  <si>
    <t>PUBLIC ADMINISTRATION AND SOCIAL SERVICE PROFESSIONS.</t>
  </si>
  <si>
    <t>Human Services, General.</t>
  </si>
  <si>
    <t>Community Organization and Advocacy.</t>
  </si>
  <si>
    <t>Public Administration.</t>
  </si>
  <si>
    <t>Public Works Management.</t>
  </si>
  <si>
    <t>Transportation and Infrastructure Planning/Studies.</t>
  </si>
  <si>
    <t>Public Administration, Other.</t>
  </si>
  <si>
    <t>Public Policy Analysis.</t>
  </si>
  <si>
    <t>Public Policy Analysis, General.</t>
  </si>
  <si>
    <t>Education Policy Analysis.</t>
  </si>
  <si>
    <t>Health Policy Analysis.</t>
  </si>
  <si>
    <t>International Policy Analysis.</t>
  </si>
  <si>
    <t>Public Policy Analysis, Other.</t>
  </si>
  <si>
    <t>Social Work.</t>
  </si>
  <si>
    <t>Youth Services/Administration.</t>
  </si>
  <si>
    <t>Forensic Social Work.</t>
  </si>
  <si>
    <t>Social Work, Other.</t>
  </si>
  <si>
    <t>Public Administration and Social Service Professions, Other.</t>
  </si>
  <si>
    <t>SOCIAL SCIENCES.</t>
  </si>
  <si>
    <t>Social Sciences, General.</t>
  </si>
  <si>
    <t>Research Methodology and Quantitative Methods.</t>
  </si>
  <si>
    <t>Survey Research/Methodology.</t>
  </si>
  <si>
    <t>Social Sciences, Other.</t>
  </si>
  <si>
    <t>Anthropology.</t>
  </si>
  <si>
    <t>Anthropology, General.</t>
  </si>
  <si>
    <t>Physical and Biological Anthropology.</t>
  </si>
  <si>
    <t>Medical Anthropology.</t>
  </si>
  <si>
    <t>Cultural Anthropology.</t>
  </si>
  <si>
    <t>Forensic Anthropology.</t>
  </si>
  <si>
    <t>Anthropology, Other.</t>
  </si>
  <si>
    <t>Archeology.</t>
  </si>
  <si>
    <t>Criminology.</t>
  </si>
  <si>
    <t>Demography and Population Studies.</t>
  </si>
  <si>
    <t>Demography.</t>
  </si>
  <si>
    <t>Applied Demography.</t>
  </si>
  <si>
    <t>Demography, Other.</t>
  </si>
  <si>
    <t>Economics.</t>
  </si>
  <si>
    <t>Economics, General.</t>
  </si>
  <si>
    <t>Applied Economics.</t>
  </si>
  <si>
    <t>Econometrics and Quantitative Economics.</t>
  </si>
  <si>
    <t>Development Economics and International Development.</t>
  </si>
  <si>
    <t>International Economics.</t>
  </si>
  <si>
    <t>Economics, Other.</t>
  </si>
  <si>
    <t>Geography and Cartography.</t>
  </si>
  <si>
    <t>Geography.</t>
  </si>
  <si>
    <t>Geographic Information Science and Cartography.</t>
  </si>
  <si>
    <t>Geography, Other.</t>
  </si>
  <si>
    <t>International Relations and National Security Studies.</t>
  </si>
  <si>
    <t>International Relations and Affairs.</t>
  </si>
  <si>
    <t>National Security Policy Studies.</t>
  </si>
  <si>
    <t>International Relations and National Security Studies, Other.</t>
  </si>
  <si>
    <t>Political Science and Government.</t>
  </si>
  <si>
    <t>Political Science and Government, General.</t>
  </si>
  <si>
    <t>American Government and Politics (United States).</t>
  </si>
  <si>
    <t>Canadian Government and Politics.</t>
  </si>
  <si>
    <t>Political Economy.</t>
  </si>
  <si>
    <t>Political Science and Government, Other.</t>
  </si>
  <si>
    <t>Sociology.</t>
  </si>
  <si>
    <t>Sociology, General.</t>
  </si>
  <si>
    <t>Applied/Public Sociology.</t>
  </si>
  <si>
    <t>Sociology, Other.</t>
  </si>
  <si>
    <t>Urban Studies/Affairs.</t>
  </si>
  <si>
    <t>Sociology and Anthropology.</t>
  </si>
  <si>
    <t>Rural Sociology.</t>
  </si>
  <si>
    <t>Deleted</t>
  </si>
  <si>
    <t>Deleted, report under 45.1103</t>
  </si>
  <si>
    <t>Geography and Anthropology.</t>
  </si>
  <si>
    <t>CONSTRUCTION TRADES.</t>
  </si>
  <si>
    <t>Construction Trades, General.</t>
  </si>
  <si>
    <t>Mason/Masonry.</t>
  </si>
  <si>
    <t>Carpenters.</t>
  </si>
  <si>
    <t>Carpentry/Carpenter.</t>
  </si>
  <si>
    <t>Electrical and Power Transmission Installers.</t>
  </si>
  <si>
    <t>Electrical and Power Transmission Installation/Installer, General.</t>
  </si>
  <si>
    <t>Electrician.</t>
  </si>
  <si>
    <t>Lineworker.</t>
  </si>
  <si>
    <t>Electrical and Power Transmission Installers, Other.</t>
  </si>
  <si>
    <t>Building/Construction Finishing, Management, and Inspection.</t>
  </si>
  <si>
    <t>Building/Property Maintenance.</t>
  </si>
  <si>
    <t>Concrete Finishing/Concrete Finisher.</t>
  </si>
  <si>
    <t>Building/Home/Construction Inspection/Inspector.</t>
  </si>
  <si>
    <t>Drywall Installation/Drywaller.</t>
  </si>
  <si>
    <t>Glazier.</t>
  </si>
  <si>
    <t>Painting/Painter and Wall Coverer.</t>
  </si>
  <si>
    <t>Roofer.</t>
  </si>
  <si>
    <t>Metal Building Assembly/Assembler.</t>
  </si>
  <si>
    <t>Building/Construction Site Management/Manager.</t>
  </si>
  <si>
    <t>Carpet, Floor, and Tile Worker.</t>
  </si>
  <si>
    <t>Insulator.</t>
  </si>
  <si>
    <t>Building Construction Technology.</t>
  </si>
  <si>
    <t>Building Construction Technology/Technician.</t>
  </si>
  <si>
    <t>Building/Construction Finishing, Management, and Inspection, Other.</t>
  </si>
  <si>
    <t>Plumbing and Related Water Supply Services.</t>
  </si>
  <si>
    <t>Pipefitting/Pipefitter and Sprinkler Fitter.</t>
  </si>
  <si>
    <t>Plumbing Technology/Plumber.</t>
  </si>
  <si>
    <t>Well Drilling/Driller.</t>
  </si>
  <si>
    <t>Blasting/Blaster.</t>
  </si>
  <si>
    <t>Plumbing and Related Water Supply Services, Other.</t>
  </si>
  <si>
    <t>Construction Trades, Other.</t>
  </si>
  <si>
    <t>MECHANIC AND REPAIR TECHNOLOGIES/TECHNICIANS.</t>
  </si>
  <si>
    <t>Mechanics and Repairers, General.</t>
  </si>
  <si>
    <t>Electrical/Electronics Maintenance and Repair Technology.</t>
  </si>
  <si>
    <t>Electrical/Electronics Maintenance and Repair Technologies/Technicians.</t>
  </si>
  <si>
    <t>Electrical/Electronics Equipment Installation and Repair, General.</t>
  </si>
  <si>
    <t>Electrical/Electronics Equipment Installation and Repair Technology/Technician, General.</t>
  </si>
  <si>
    <t>Business Machine Repair.</t>
  </si>
  <si>
    <t>Communications Systems Installation and Repair Technology.</t>
  </si>
  <si>
    <t>Communications Systems Installation and Repair Technology/Technician.</t>
  </si>
  <si>
    <t>Computer Installation and Repair Technology/Technician.</t>
  </si>
  <si>
    <t>Industrial Electronics Technology/Technician.</t>
  </si>
  <si>
    <t>Appliance Installation and Repair Technology/Technician.</t>
  </si>
  <si>
    <t>Security System Installation, Repair, and Inspection Technology/Technician.</t>
  </si>
  <si>
    <t>Electrical/Electronics Maintenance and Repair Technology, Other.</t>
  </si>
  <si>
    <t>Electrical/Electronics Maintenance and Repair Technologies/Technicians, Other.</t>
  </si>
  <si>
    <t>Heating, Air Conditioning, Ventilation and Refrigeration Maintenance Technology/Technician (HAC, HACR, HVAC, HVACR).</t>
  </si>
  <si>
    <t>Heating, Air Conditioning, Ventilation and Refrigeration Maintenance Technology/Technician.</t>
  </si>
  <si>
    <t>Heavy/Industrial Equipment Maintenance Technologies.</t>
  </si>
  <si>
    <t>Heavy/Industrial Equipment Maintenance Technologies/Technicians.</t>
  </si>
  <si>
    <t>Heavy Equipment Maintenance Technology/Technician.</t>
  </si>
  <si>
    <t>Industrial Mechanics and Maintenance Technology.</t>
  </si>
  <si>
    <t>Industrial Mechanics and Maintenance Technology/Technician.</t>
  </si>
  <si>
    <t>Heavy/Industrial Equipment Maintenance Technologies, Other.</t>
  </si>
  <si>
    <t>Heavy/Industrial Equipment Maintenance Technologies/Technicians, Other.</t>
  </si>
  <si>
    <t>Precision Systems Maintenance and Repair Technologies.</t>
  </si>
  <si>
    <t>Precision Systems Maintenance and Repair Technologies/Technicians.</t>
  </si>
  <si>
    <t>Gunsmithing/Gunsmith.</t>
  </si>
  <si>
    <t>Locksmithing and Safe Repair.</t>
  </si>
  <si>
    <t>Musical Instrument Fabrication and Repair.</t>
  </si>
  <si>
    <t>Watchmaking and Jewelrymaking.</t>
  </si>
  <si>
    <t>Parts and Warehousing Operations and Maintenance Technology/Technician.</t>
  </si>
  <si>
    <t>Precision Systems Maintenance and Repair Technologies, Other.</t>
  </si>
  <si>
    <t>Precision Systems Maintenance and Repair Technologies/Technicians, Other.</t>
  </si>
  <si>
    <t>Vehicle Maintenance and Repair Technologies.</t>
  </si>
  <si>
    <t>Vehicle Maintenance and Repair Technologies/Technicians.</t>
  </si>
  <si>
    <t>Vehicle Maintenance and Repair Technologies, General.</t>
  </si>
  <si>
    <t>Vehicle Maintenance and Repair Technology/Technician, General.</t>
  </si>
  <si>
    <t>Autobody/Collision and Repair Technology/Technician.</t>
  </si>
  <si>
    <t>Automobile/Automotive Mechanics Technology/Technician.</t>
  </si>
  <si>
    <t>Diesel Mechanics Technology/Technician.</t>
  </si>
  <si>
    <t>Small Engine Mechanics and Repair Technology/Technician.</t>
  </si>
  <si>
    <t>Airframe Mechanics and Aircraft Maintenance Technology/Technician.</t>
  </si>
  <si>
    <t>Aircraft Powerplant Technology/Technician.</t>
  </si>
  <si>
    <t>Avionics Maintenance Technology/Technician.</t>
  </si>
  <si>
    <t>Bicycle Mechanics and Repair Technology/Technician.</t>
  </si>
  <si>
    <t>Motorcycle Maintenance and Repair Technology/Technician.</t>
  </si>
  <si>
    <t>Vehicle Emissions Inspection and Maintenance Technology/Technician.</t>
  </si>
  <si>
    <t>Medium/Heavy Vehicle and Truck Technology/Technician.</t>
  </si>
  <si>
    <t>Alternative Fuel Vehicle Technology/Technician.</t>
  </si>
  <si>
    <t>Engine Machinist.</t>
  </si>
  <si>
    <t>Marine Maintenance/Fitter and Ship Repair Technology/Technician.</t>
  </si>
  <si>
    <t>High Performance and Custom Engine Technician/Mechanic.</t>
  </si>
  <si>
    <t>Recreation Vehicle (RV) Service Technician.</t>
  </si>
  <si>
    <t>Vehicle Maintenance and Repair Technologies, Other.</t>
  </si>
  <si>
    <t>Vehicle Maintenance and Repair Technologies/Technicians, Other.</t>
  </si>
  <si>
    <t>Energy Systems Maintenance and Repair Technologies/Technicians.</t>
  </si>
  <si>
    <t>Energy Systems Installation and Repair Technology/Technician.</t>
  </si>
  <si>
    <t>Solar Energy System Installation and Repair Technology/Technician.</t>
  </si>
  <si>
    <t>Wind Energy System Installation and Repair Technology/Technician.</t>
  </si>
  <si>
    <t>Hydroelectric Energy System Installation and Repair Technology/Technician.</t>
  </si>
  <si>
    <t>Geothermal Energy System Installation and Repair Technology/Technician.</t>
  </si>
  <si>
    <t>Energy Systems Maintenance and Repair Technologies/Technicians, Other.</t>
  </si>
  <si>
    <t>Mechanic and Repair Technologies/Technicians, Other.</t>
  </si>
  <si>
    <t>PRECISION PRODUCTION.</t>
  </si>
  <si>
    <t>Precision Production Trades, General.</t>
  </si>
  <si>
    <t>Leatherworking and Upholstery.</t>
  </si>
  <si>
    <t>Upholstery/Upholsterer.</t>
  </si>
  <si>
    <t>Shoe, Boot and Leather Repair.</t>
  </si>
  <si>
    <t>Leatherworking and Upholstery, Other.</t>
  </si>
  <si>
    <t>Precision Metal Working.</t>
  </si>
  <si>
    <t>Machine Tool Technology/Machinist.</t>
  </si>
  <si>
    <t>Machine Shop Technology/Assistant.</t>
  </si>
  <si>
    <t>Sheet Metal Technology/Sheetworking.</t>
  </si>
  <si>
    <t>Tool and Die Technology/Technician.</t>
  </si>
  <si>
    <t>Welding Technology/Welder.</t>
  </si>
  <si>
    <t>Ironworking/Ironworker.</t>
  </si>
  <si>
    <t>Computer Numerically Controlled (CNC) Machinist Technology/CNC Machinist.</t>
  </si>
  <si>
    <t>Metal Fabricator.</t>
  </si>
  <si>
    <t>Precision Metal Working, Other.</t>
  </si>
  <si>
    <t>Woodworking.</t>
  </si>
  <si>
    <t>Woodworking, General.</t>
  </si>
  <si>
    <t>Furniture Design and Manufacturing.</t>
  </si>
  <si>
    <t>Cabinetmaking and Millwork.</t>
  </si>
  <si>
    <t>Wooden Boatbuilding Technology/Technician.</t>
  </si>
  <si>
    <t>Woodworking, Other.</t>
  </si>
  <si>
    <t>Boilermaking/Boilermaker.</t>
  </si>
  <si>
    <t>Precision Production, Other.</t>
  </si>
  <si>
    <t>TRANSPORTATION AND MATERIALS MOVING.</t>
  </si>
  <si>
    <t>Air Transportation.</t>
  </si>
  <si>
    <t>Aeronautics/Aviation/Aerospace Science and Technology, General.</t>
  </si>
  <si>
    <t>Airline/Commercial/Professional Pilot and Flight Crew.</t>
  </si>
  <si>
    <t>Aviation/Airway Management and Operations.</t>
  </si>
  <si>
    <t>Air Traffic Controller.</t>
  </si>
  <si>
    <t>Airline Flight Attendant.</t>
  </si>
  <si>
    <t>Flight Instructor.</t>
  </si>
  <si>
    <t>Remote Aircraft Pilot.</t>
  </si>
  <si>
    <t>Air Transportation, Other.</t>
  </si>
  <si>
    <t>Ground Transportation.</t>
  </si>
  <si>
    <t>Construction/Heavy Equipment/Earthmoving Equipment Operation.</t>
  </si>
  <si>
    <t>Truck and Bus Driver/Commercial Vehicle Operator and Instructor.</t>
  </si>
  <si>
    <t>Mobil Crane Operation/Operator.</t>
  </si>
  <si>
    <t>Mobil Crane Operator/Operation.</t>
  </si>
  <si>
    <t>Flagging and Traffic Control.</t>
  </si>
  <si>
    <t>Railroad and Railway Transportation.</t>
  </si>
  <si>
    <t>Forklift Operation/Operator.</t>
  </si>
  <si>
    <t>Ground Transportation, Other.</t>
  </si>
  <si>
    <t>Marine Transportation.</t>
  </si>
  <si>
    <t>Commercial Fishing.</t>
  </si>
  <si>
    <t>Diver, Professional and Instructor.</t>
  </si>
  <si>
    <t>Marine Science/Merchant Marine Officer.</t>
  </si>
  <si>
    <t>Marine Transportation, Other.</t>
  </si>
  <si>
    <t>Transportation and Materials Moving, Other.</t>
  </si>
  <si>
    <t>VISUAL AND PERFORMING ARTS.</t>
  </si>
  <si>
    <t>Visual and Performing Arts, General.</t>
  </si>
  <si>
    <t>Digital Arts.</t>
  </si>
  <si>
    <t>Crafts/Craft Design, Folk Art and Artisanry.</t>
  </si>
  <si>
    <t>Dance.</t>
  </si>
  <si>
    <t>Dance, General.</t>
  </si>
  <si>
    <t>Ballet.</t>
  </si>
  <si>
    <t>Dance, Other.</t>
  </si>
  <si>
    <t>Design and Applied Arts.</t>
  </si>
  <si>
    <t>Design and Visual Communications, General.</t>
  </si>
  <si>
    <t>Commercial and Advertising Art.</t>
  </si>
  <si>
    <t>Industrial and Product Design.</t>
  </si>
  <si>
    <t>Commercial Photography.</t>
  </si>
  <si>
    <t>Fashion/Apparel Design.</t>
  </si>
  <si>
    <t>Interior Design.</t>
  </si>
  <si>
    <t>Graphic Design.</t>
  </si>
  <si>
    <t>Illustration.</t>
  </si>
  <si>
    <t>Game and Interactive Media Design.</t>
  </si>
  <si>
    <t>Design and Applied Arts, Other.</t>
  </si>
  <si>
    <t>Drama/Theatre Arts and Stagecraft.</t>
  </si>
  <si>
    <t>Drama and Dramatics/Theatre Arts, General.</t>
  </si>
  <si>
    <t>Technical Theatre/Theatre Design and Technology.</t>
  </si>
  <si>
    <t>Playwriting and Screenwriting.</t>
  </si>
  <si>
    <t>Theatre Literature, History and Criticism.</t>
  </si>
  <si>
    <t>Acting.</t>
  </si>
  <si>
    <t>Directing and Theatrical Production.</t>
  </si>
  <si>
    <t>Musical Theatre.</t>
  </si>
  <si>
    <t>Costume Design.</t>
  </si>
  <si>
    <t>Comedy Writing and Performance.</t>
  </si>
  <si>
    <t>Theatre and Dance.</t>
  </si>
  <si>
    <t>Dramatic/Theatre Arts and Stagecraft, Other.</t>
  </si>
  <si>
    <t>Film/Video and Photographic Arts.</t>
  </si>
  <si>
    <t>Film/Cinema/Video Studies.</t>
  </si>
  <si>
    <t>Film/Cinema/Media Studies.</t>
  </si>
  <si>
    <t>Cinematography and Film/Video Production.</t>
  </si>
  <si>
    <t>Photography.</t>
  </si>
  <si>
    <t>Documentary Production.</t>
  </si>
  <si>
    <t>Film/Video and Photographic Arts, Other.</t>
  </si>
  <si>
    <t>Fine and Studio Arts.</t>
  </si>
  <si>
    <t>Art/Art Studies, General.</t>
  </si>
  <si>
    <t>Fine/Studio Arts, General.</t>
  </si>
  <si>
    <t>Art History, Criticism and Conservation.</t>
  </si>
  <si>
    <t>Drawing.</t>
  </si>
  <si>
    <t>Intermedia/Multimedia.</t>
  </si>
  <si>
    <t>Painting.</t>
  </si>
  <si>
    <t>Sculpture.</t>
  </si>
  <si>
    <t>Printmaking.</t>
  </si>
  <si>
    <t>Ceramic Arts and Ceramics.</t>
  </si>
  <si>
    <t>Fiber, Textile and Weaving Arts.</t>
  </si>
  <si>
    <t>Metal and Jewelry Arts.</t>
  </si>
  <si>
    <t>Jewelry Arts.</t>
  </si>
  <si>
    <t>Metal Arts.</t>
  </si>
  <si>
    <t>Fine Arts and Art Studies, Other.</t>
  </si>
  <si>
    <t>Music, General.</t>
  </si>
  <si>
    <t>Music History, Literature, and Theory.</t>
  </si>
  <si>
    <t>Music Performance, General.</t>
  </si>
  <si>
    <t>Music Theory and Composition.</t>
  </si>
  <si>
    <t>Musicology and Ethnomusicology.</t>
  </si>
  <si>
    <t>Conducting.</t>
  </si>
  <si>
    <t>Keyboard Instruments.</t>
  </si>
  <si>
    <t>Voice and Opera.</t>
  </si>
  <si>
    <t>Jazz/Jazz Studies.</t>
  </si>
  <si>
    <t>Stringed Instruments.</t>
  </si>
  <si>
    <t>Music Pedagogy.</t>
  </si>
  <si>
    <t>Music Technology.</t>
  </si>
  <si>
    <t>Brass Instruments.</t>
  </si>
  <si>
    <t>Woodwind Instruments.</t>
  </si>
  <si>
    <t>Percussion Instruments.</t>
  </si>
  <si>
    <t>Sound Arts.</t>
  </si>
  <si>
    <t>Music, Other.</t>
  </si>
  <si>
    <t>Arts, Entertainment,and Media Management.</t>
  </si>
  <si>
    <t>Arts, Entertainment, and Media Management.</t>
  </si>
  <si>
    <t>Arts, Entertainment,and Media Management, General.</t>
  </si>
  <si>
    <t>Arts, Entertainment, and Media Management, General.</t>
  </si>
  <si>
    <t>Fine and Studio Arts Management.</t>
  </si>
  <si>
    <t>Music Management.</t>
  </si>
  <si>
    <t>Theatre/Theatre Arts Management.</t>
  </si>
  <si>
    <t>Arts, Entertainment, and Media Management, Other.</t>
  </si>
  <si>
    <t>Community/Environmental/Socially-Engaged Art.</t>
  </si>
  <si>
    <t>Visual and Performing Arts, Other.</t>
  </si>
  <si>
    <t>HEALTH PROFESSIONS AND RELATED PROGRAMS.</t>
  </si>
  <si>
    <t>Health Services/Allied Health/Health Sciences, General.</t>
  </si>
  <si>
    <t>Health and Wellness, General.</t>
  </si>
  <si>
    <t>Chiropractic.</t>
  </si>
  <si>
    <t>Communication Disorders Sciences and Services.</t>
  </si>
  <si>
    <t>Communication Sciences and Disorders, General.</t>
  </si>
  <si>
    <t>Audiology/Audiologist.</t>
  </si>
  <si>
    <t>Speech-Language Pathology/Pathologist.</t>
  </si>
  <si>
    <t>Audiology/Audiologist and Speech-Language Pathology/Pathologist.</t>
  </si>
  <si>
    <t>Communication Disorders Sciences and Services, Other.</t>
  </si>
  <si>
    <t>Dentistry.</t>
  </si>
  <si>
    <t>Advanced/Graduate Dentistry and Oral Sciences.</t>
  </si>
  <si>
    <t>Dental Clinical Sciences, General.</t>
  </si>
  <si>
    <t>Advanced General Dentistry.</t>
  </si>
  <si>
    <t>Oral Biology and Oral and Maxillofacial Pathology.</t>
  </si>
  <si>
    <t>Dental Public Health and Education.</t>
  </si>
  <si>
    <t>Dental Materials.</t>
  </si>
  <si>
    <t>Endodontics/Endodontology.</t>
  </si>
  <si>
    <t>Oral/Maxillofacial Surgery.</t>
  </si>
  <si>
    <t>Orthodontics/Orthodontology.</t>
  </si>
  <si>
    <t>Pediatric Dentistry/Pedodontics.</t>
  </si>
  <si>
    <t>Periodontics/Periodontology.</t>
  </si>
  <si>
    <t>Prosthodontics/Prosthodontology.</t>
  </si>
  <si>
    <t>Digital Dentistry.</t>
  </si>
  <si>
    <t>Geriatric Dentistry.</t>
  </si>
  <si>
    <t>Implantology/Implant Dentistry.</t>
  </si>
  <si>
    <t>Advanced/Graduate Dentistry and Oral Sciences, Other.</t>
  </si>
  <si>
    <t>Dental Support Services and Allied Professions.</t>
  </si>
  <si>
    <t>Dental Assisting/Assistant.</t>
  </si>
  <si>
    <t>Dental Hygiene/Hygienist.</t>
  </si>
  <si>
    <t>Dental Laboratory Technology/Technician.</t>
  </si>
  <si>
    <t>Dental Services and Allied Professions, Other.</t>
  </si>
  <si>
    <t>Health and Medical Administrative Services.</t>
  </si>
  <si>
    <t>Health/Health Care Administration/Management.</t>
  </si>
  <si>
    <t>Hospital and Health Care Facilities Administration/Management.</t>
  </si>
  <si>
    <t>Health Unit Coordinator/Ward Clerk.</t>
  </si>
  <si>
    <t>Health Unit Manager/Ward Supervisor.</t>
  </si>
  <si>
    <t>Medical Office Management/Administration.</t>
  </si>
  <si>
    <t>Health Information/Medical Records Administration/Administrator.</t>
  </si>
  <si>
    <t>Health Information/Medical Records Technology/Technician.</t>
  </si>
  <si>
    <t>Medical Transcription/Transcriptionist.</t>
  </si>
  <si>
    <t>Medical Office Computer Specialist/Assistant.</t>
  </si>
  <si>
    <t>Medical Office Assistant/Specialist.</t>
  </si>
  <si>
    <t>Medical/Health Management and Clinical Assistant/Specialist.</t>
  </si>
  <si>
    <t>Medical Reception/Receptionist.</t>
  </si>
  <si>
    <t>Medical Insurance Coding Specialist/Coder.</t>
  </si>
  <si>
    <t>Medical Insurance Specialist/Medical Biller.</t>
  </si>
  <si>
    <t>Health/Medical Claims Examiner.</t>
  </si>
  <si>
    <t>Medical Administrative/Executive Assistant and Medical Secretary.</t>
  </si>
  <si>
    <t>Medical Staff Services Technology/Technician.</t>
  </si>
  <si>
    <t>Long Term Care Administration/Management.</t>
  </si>
  <si>
    <t>Clinical Research Coordinator.</t>
  </si>
  <si>
    <t>Regulatory Science/Affairs.</t>
  </si>
  <si>
    <t>Disease Registry Data Management.</t>
  </si>
  <si>
    <t>Healthcare Innovation.</t>
  </si>
  <si>
    <t>Healthcare Information Privacy Assurance and Security.</t>
  </si>
  <si>
    <t>Health and Medical Administrative Services, Other.</t>
  </si>
  <si>
    <t>Allied Health and Medical Assisting Services.</t>
  </si>
  <si>
    <t>Medical/Clinical Assistant.</t>
  </si>
  <si>
    <t>Clinical/Medical Laboratory Assistant.</t>
  </si>
  <si>
    <t>Occupational Therapist Assistant.</t>
  </si>
  <si>
    <t>Pharmacy Technician/Assistant.</t>
  </si>
  <si>
    <t>Physical Therapy Technician/Assistant.</t>
  </si>
  <si>
    <t>Physical Therapy Assistant.</t>
  </si>
  <si>
    <t>Veterinary/Animal Health Technology/Technician and Veterinary Assistant.</t>
  </si>
  <si>
    <t>Anesthesiologist Assistant.</t>
  </si>
  <si>
    <t>Emergency Care Attendant (EMT Ambulance).</t>
  </si>
  <si>
    <t>Pathology/Pathologist Assistant.</t>
  </si>
  <si>
    <t>Respiratory Therapy Technician/Assistant.</t>
  </si>
  <si>
    <t>Chiropractic Assistant/Technician.</t>
  </si>
  <si>
    <t>Chiropractic Technician/Assistant.</t>
  </si>
  <si>
    <t>Radiologist Assistant.</t>
  </si>
  <si>
    <t>Lactation Consultant.</t>
  </si>
  <si>
    <t>Speech-Language Pathology Assistant.</t>
  </si>
  <si>
    <t>Allied Health and Medical Assisting Services, Other.</t>
  </si>
  <si>
    <t>Allied Health Diagnostic, Intervention, and Treatment Professions.</t>
  </si>
  <si>
    <t>Cardiovascular Technology/Technologist.</t>
  </si>
  <si>
    <t>Electrocardiograph Technology/Technician.</t>
  </si>
  <si>
    <t>Electroneurodiagnostic/Electroencephalographic Technology/Technologist.</t>
  </si>
  <si>
    <t>Emergency Medical Technology/Technician (EMT Paramedic).</t>
  </si>
  <si>
    <t>Nuclear Medical Technology/Technologist.</t>
  </si>
  <si>
    <t>Perfusion Technology/Perfusionist.</t>
  </si>
  <si>
    <t>Medical Radiologic Technology/Science - Radiation Therapist.</t>
  </si>
  <si>
    <t>Respiratory Care Therapy/Therapist.</t>
  </si>
  <si>
    <t>Surgical Technology/Technologist.</t>
  </si>
  <si>
    <t>Diagnostic Medical Sonography/Sonographer and Ultrasound Technician.</t>
  </si>
  <si>
    <t>Radiologic Technology/Science - Radiographer.</t>
  </si>
  <si>
    <t>Physician Assistant.</t>
  </si>
  <si>
    <t>Physician Associate/Assistant.</t>
  </si>
  <si>
    <t>Athletic Training/Trainer.</t>
  </si>
  <si>
    <t>Gene/Genetic Therapy.</t>
  </si>
  <si>
    <t>Cardiopulmonary Technology/Technologist.</t>
  </si>
  <si>
    <t>Radiation Protection/Health Physics Technician.</t>
  </si>
  <si>
    <t>Polysomnography.</t>
  </si>
  <si>
    <t>Hearing Instrument Specialist.</t>
  </si>
  <si>
    <t>Mammography Technician/Technology.</t>
  </si>
  <si>
    <t>Mammography Technology/Technician.</t>
  </si>
  <si>
    <t>Magnetic Resonance Imaging (MRI) Technology/Technician.</t>
  </si>
  <si>
    <t>Hyperbaric Medicine Technology/Technician.</t>
  </si>
  <si>
    <t>Intraoperative Neuromonitoring Technology/Technician.</t>
  </si>
  <si>
    <t>Orthopedic Technology/Technician.</t>
  </si>
  <si>
    <t>Allied Health Diagnostic, Intervention, and Treatment Professions, Other.</t>
  </si>
  <si>
    <t>Clinical/Medical Laboratory Science/Research and Allied Professions.</t>
  </si>
  <si>
    <t>Blood Bank Technology Specialist.</t>
  </si>
  <si>
    <t>Cytotechnology/Cytotechnologist.</t>
  </si>
  <si>
    <t>Hematology Technology/Technician.</t>
  </si>
  <si>
    <t>Clinical/Medical Laboratory Technician.</t>
  </si>
  <si>
    <t>Clinical Laboratory Science/Medical Technology/Technologist.</t>
  </si>
  <si>
    <t>Ophthalmic Laboratory Technology/Technician.</t>
  </si>
  <si>
    <t>Histologic Technology/Histotechnologist.</t>
  </si>
  <si>
    <t>Histologic Technician.</t>
  </si>
  <si>
    <t>Phlebotomy Technician/Phlebotomist.</t>
  </si>
  <si>
    <t>Cytogenetics/Genetics/Clinical Genetics Technology/Technologist.</t>
  </si>
  <si>
    <t>Renal/Dialysis Technologist/Technician.</t>
  </si>
  <si>
    <t>Sterile Processing Technology/Technician.</t>
  </si>
  <si>
    <t>Clinical/Medical Laboratory Science and Allied Professions, Other.</t>
  </si>
  <si>
    <t>Health/Medical Preparatory Programs.</t>
  </si>
  <si>
    <t>Pre-Dentistry Studies.</t>
  </si>
  <si>
    <t>Pre-Medicine/Pre-Medical Studies.</t>
  </si>
  <si>
    <t>Pre-Pharmacy Studies.</t>
  </si>
  <si>
    <t>Pre-Veterinary Studies.</t>
  </si>
  <si>
    <t>Pre-Nursing Studies.</t>
  </si>
  <si>
    <t>Pre-Chiropractic Studies.</t>
  </si>
  <si>
    <t>Pre-Occupational Therapy Studies.</t>
  </si>
  <si>
    <t>Pre-Optometry Studies.</t>
  </si>
  <si>
    <t>Pre-Physical Therapy Studies.</t>
  </si>
  <si>
    <t>Pre-Art Therapy.</t>
  </si>
  <si>
    <t>Pre-Physician Assistant.</t>
  </si>
  <si>
    <t>Health/Medical Preparatory Programs, Other.</t>
  </si>
  <si>
    <t>Medicine.</t>
  </si>
  <si>
    <t>Medicine, Other.</t>
  </si>
  <si>
    <t>Medical Clinical Sciences/Graduate Medical Studies.</t>
  </si>
  <si>
    <t>Medical Scientist.</t>
  </si>
  <si>
    <t>Medical Science/Scientist.</t>
  </si>
  <si>
    <t>Clinical and Translational Science.</t>
  </si>
  <si>
    <t>Pain Management.</t>
  </si>
  <si>
    <t>Temporomandibular Disorders and Orofacial Pain.</t>
  </si>
  <si>
    <t>Tropical Medicine.</t>
  </si>
  <si>
    <t>Medical Clinical Sciences/Graduate Medical Studies, Other.</t>
  </si>
  <si>
    <t>Mental and Social Health Services and Allied Professions.</t>
  </si>
  <si>
    <t>Substance Abuse/Addiction Counseling.</t>
  </si>
  <si>
    <t>Psychiatric/Mental Health Services Technician.</t>
  </si>
  <si>
    <t>Clinical/Medical Social Work.</t>
  </si>
  <si>
    <t>Community Health Services/Liaison/Counseling.</t>
  </si>
  <si>
    <t>Marriage and Family Therapy/Counseling.</t>
  </si>
  <si>
    <t>Clinical Pastoral Counseling/Patient Counseling.</t>
  </si>
  <si>
    <t>Psychoanalysis and Psychotherapy.</t>
  </si>
  <si>
    <t>Mental Health Counseling/Counselor.</t>
  </si>
  <si>
    <t>Genetic Counseling/Counselor.</t>
  </si>
  <si>
    <t>Infant/Toddler Mental Health Services.</t>
  </si>
  <si>
    <t>Medical Family Therapy/Therapist.</t>
  </si>
  <si>
    <t>Hospice and Palliative Care.</t>
  </si>
  <si>
    <t>Trauma Counseling.</t>
  </si>
  <si>
    <t>Mental and Social Health Services and Allied Professions, Other.</t>
  </si>
  <si>
    <t>Optometry.</t>
  </si>
  <si>
    <t>Ophthalmic and Optometric Support Services and Allied Professions.</t>
  </si>
  <si>
    <t>Opticianry/Ophthalmic Dispensing Optician.</t>
  </si>
  <si>
    <t>Optometric Technician/Assistant.</t>
  </si>
  <si>
    <t>Ophthalmic Technician/Technologist.</t>
  </si>
  <si>
    <t>Orthoptics/Orthoptist.</t>
  </si>
  <si>
    <t>Ophthalmic and Optometric Support Services and Allied Professions, Other.</t>
  </si>
  <si>
    <t>Osteopathic Medicine/Osteopathy.</t>
  </si>
  <si>
    <t>Deleted, report under 51.1202</t>
  </si>
  <si>
    <t>Pharmacy, Pharmaceutical Sciences, and Administration.</t>
  </si>
  <si>
    <t>Pharmacy.</t>
  </si>
  <si>
    <t>Pharmacy Administration and Pharmacy Policy and Regulatory Affairs.</t>
  </si>
  <si>
    <t>Pharmaceutics and Drug Design.</t>
  </si>
  <si>
    <t>Medicinal and Pharmaceutical Chemistry.</t>
  </si>
  <si>
    <t>Natural Products Chemistry and Pharmacognosy.</t>
  </si>
  <si>
    <t>Clinical and Industrial Drug Development.</t>
  </si>
  <si>
    <t>Pharmacoeconomics/Pharmaceutical Economics.</t>
  </si>
  <si>
    <t>Clinical, Hospital, and Managed Care Pharmacy.</t>
  </si>
  <si>
    <t>Industrial and Physical Pharmacy and Cosmetic Sciences.</t>
  </si>
  <si>
    <t>Pharmaceutical Sciences.</t>
  </si>
  <si>
    <t>Pharmaceutical Marketing and Management.</t>
  </si>
  <si>
    <t>Pharmacy, Pharmaceutical Sciences, and Administration, Other.</t>
  </si>
  <si>
    <t>Podiatric Medicine/Podiatry.</t>
  </si>
  <si>
    <t>Deleted, report under 51.1203</t>
  </si>
  <si>
    <t>Public Health.</t>
  </si>
  <si>
    <t>Public Health, General.</t>
  </si>
  <si>
    <t>Environmental Health.</t>
  </si>
  <si>
    <t>Health/Medical  Physics.</t>
  </si>
  <si>
    <t>Occupational Health and Industrial Hygiene.</t>
  </si>
  <si>
    <t>Public Health Education and Promotion.</t>
  </si>
  <si>
    <t>Community Health and Preventive Medicine.</t>
  </si>
  <si>
    <t>Maternal and Child Health.</t>
  </si>
  <si>
    <t>International Public Health/International Health.</t>
  </si>
  <si>
    <t>Health Services Administration.</t>
  </si>
  <si>
    <t>Behavioral Aspects of Health.</t>
  </si>
  <si>
    <t>Patient Safety and Healthcare Quality.</t>
  </si>
  <si>
    <t>Public Health Genetics.</t>
  </si>
  <si>
    <t>Public Health, Other.</t>
  </si>
  <si>
    <t>Rehabilitation and Therapeutic Professions.</t>
  </si>
  <si>
    <t>Rehabilitation and Therapeutic Professions, General.</t>
  </si>
  <si>
    <t>Art Therapy/Therapist.</t>
  </si>
  <si>
    <t>Dance Therapy/Therapist.</t>
  </si>
  <si>
    <t>Music Therapy/Therapist.</t>
  </si>
  <si>
    <t>Occupational Therapy/Therapist.</t>
  </si>
  <si>
    <t>Orthotist/Prosthetist.</t>
  </si>
  <si>
    <t>Physical Therapy/Therapist.</t>
  </si>
  <si>
    <t>Therapeutic Recreation/Recreational Therapy.</t>
  </si>
  <si>
    <t>Vocational Rehabilitation Counseling/Counselor.</t>
  </si>
  <si>
    <t>Kinesiotherapy/Kinesiotherapist.</t>
  </si>
  <si>
    <t>Assistive/Augmentative Technology and Rehabilitation Engineering.</t>
  </si>
  <si>
    <t>Animal-Assisted Therapy.</t>
  </si>
  <si>
    <t>Rehabilitation Science.</t>
  </si>
  <si>
    <t>Drama Therapy/Therapist.</t>
  </si>
  <si>
    <t>Horticulture Therapy/Therapist.</t>
  </si>
  <si>
    <t>Play Therapy/Therapist.</t>
  </si>
  <si>
    <t>Rehabilitation and Therapeutic Professions, Other.</t>
  </si>
  <si>
    <t>Veterinary Medicine.</t>
  </si>
  <si>
    <t>Veterinary Biomedical and Clinical Sciences.</t>
  </si>
  <si>
    <t>Veterinary Sciences/Veterinary Clinical Sciences, General.</t>
  </si>
  <si>
    <t>Veterinary Anatomy.</t>
  </si>
  <si>
    <t>Veterinary Physiology.</t>
  </si>
  <si>
    <t>Veterinary Microbiology and Immunobiology.</t>
  </si>
  <si>
    <t>Veterinary Pathology and Pathobiology.</t>
  </si>
  <si>
    <t>Veterinary Toxicology and Pharmacology.</t>
  </si>
  <si>
    <t>Large Animal/Food Animal and Equine Surgery and Medicine.</t>
  </si>
  <si>
    <t>Small/Companion Animal Surgery and Medicine.</t>
  </si>
  <si>
    <t>Comparative and Laboratory Animal Medicine.</t>
  </si>
  <si>
    <t>Veterinary Preventive Medicine, Epidemiology, and Public Health.</t>
  </si>
  <si>
    <t>Veterinary Infectious Diseases.</t>
  </si>
  <si>
    <t>Veterinary Biomedical and Clinical Sciences, Other.</t>
  </si>
  <si>
    <t>Health Aides/Attendants/Orderlies.</t>
  </si>
  <si>
    <t>Health Aide.</t>
  </si>
  <si>
    <t>Home Health Aide/Home Attendant.</t>
  </si>
  <si>
    <t>Medication Aide.</t>
  </si>
  <si>
    <t>Rehabilitation Aide.</t>
  </si>
  <si>
    <t>Physical Therapy Technician/Aide.</t>
  </si>
  <si>
    <t>Health Aides/Attendants/Orderlies, Other.</t>
  </si>
  <si>
    <t>Medical Illustration and Informatics.</t>
  </si>
  <si>
    <t>Medical Illustration/Medical Illustrator.</t>
  </si>
  <si>
    <t>Medical Informatics.</t>
  </si>
  <si>
    <t>Medical Illustration and Informatics, Other.</t>
  </si>
  <si>
    <t>Dietetics and Clinical Nutrition Services.</t>
  </si>
  <si>
    <t>Dietetics/Dietitian.</t>
  </si>
  <si>
    <t>Clinical Nutrition/Nutritionist.</t>
  </si>
  <si>
    <t>Dietetic Technician.</t>
  </si>
  <si>
    <t>Dietitian Assistant.</t>
  </si>
  <si>
    <t>Dietetics and Clinical Nutrition Services, Other.</t>
  </si>
  <si>
    <t>Bioethics/Medical Ethics.</t>
  </si>
  <si>
    <t>Health Professions Education, Ethics, and Humanities.</t>
  </si>
  <si>
    <t>Health Professions Education.</t>
  </si>
  <si>
    <t>Medical/Health Humanities.</t>
  </si>
  <si>
    <t>History of Medicine.</t>
  </si>
  <si>
    <t>Arts in Medicine/Health.</t>
  </si>
  <si>
    <t>Health Professions Education, Ethics, and Humanities, Other.</t>
  </si>
  <si>
    <t>Alternative and Complementary Medicine and Medical Systems.</t>
  </si>
  <si>
    <t>Alternative and Complementary Medicine and Medical Systems, General.</t>
  </si>
  <si>
    <t>Acupuncture and Oriental Medicine.</t>
  </si>
  <si>
    <t>Traditional Chinese Medicine and Chinese Herbology.</t>
  </si>
  <si>
    <t>Naturopathic Medicine/Naturopathy.</t>
  </si>
  <si>
    <t>Homeopathic Medicine/Homeopathy.</t>
  </si>
  <si>
    <t>Ayurvedic Medicine/Ayurveda.</t>
  </si>
  <si>
    <t>Holistic Health.</t>
  </si>
  <si>
    <t>Holistic/Integrative Health.</t>
  </si>
  <si>
    <t>Alternative and Complementary Medicine and Medical Systems, Other.</t>
  </si>
  <si>
    <t>Alternative and Complementary Medical Support Services.</t>
  </si>
  <si>
    <t>Direct Entry Midwifery.</t>
  </si>
  <si>
    <t>Alternative and Complementary Medical Support Services, Other.</t>
  </si>
  <si>
    <t>Somatic Bodywork and Related Therapeutic Services.</t>
  </si>
  <si>
    <t>Massage Therapy/Therapeutic Massage.</t>
  </si>
  <si>
    <t>Asian Bodywork Therapy.</t>
  </si>
  <si>
    <t>Somatic Bodywork.</t>
  </si>
  <si>
    <t>Somatic Bodywork and Related Therapeutic Services, Other.</t>
  </si>
  <si>
    <t>Movement and Mind-Body Therapies and Education.</t>
  </si>
  <si>
    <t>Movement Therapy and Movement Education.</t>
  </si>
  <si>
    <t>Yoga Teacher Training/Yoga Therapy.</t>
  </si>
  <si>
    <t>Hypnotherapy/Hypnotherapist.</t>
  </si>
  <si>
    <t>Movement and Mind-Body Therapies and Education, Other.</t>
  </si>
  <si>
    <t>Energy and Biologically Based Therapies.</t>
  </si>
  <si>
    <t>Aromatherapy.</t>
  </si>
  <si>
    <t>Herbalism/Herbalist.</t>
  </si>
  <si>
    <t>Polarity Therapy.</t>
  </si>
  <si>
    <t>Reiki.</t>
  </si>
  <si>
    <t>Energy and Biologically Based Therapies, Other.</t>
  </si>
  <si>
    <t>Registered Nursing, Nursing Administration, Nursing Research and Clinical Nursing.</t>
  </si>
  <si>
    <t>Registered Nursing/Registered Nurse.</t>
  </si>
  <si>
    <t>Nursing Administration.</t>
  </si>
  <si>
    <t>Adult Health Nurse/Nursing.</t>
  </si>
  <si>
    <t>Nurse Anesthetist.</t>
  </si>
  <si>
    <t>Family Practice Nurse/Nursing.</t>
  </si>
  <si>
    <t>Maternal/Child Health and Neonatal Nurse/Nursing.</t>
  </si>
  <si>
    <t>Nurse Midwife/Nursing Midwifery.</t>
  </si>
  <si>
    <t>Nursing Science.</t>
  </si>
  <si>
    <t>Pediatric Nurse/Nursing.</t>
  </si>
  <si>
    <t>Psychiatric/Mental Health Nurse/Nursing.</t>
  </si>
  <si>
    <t>Public Health/Community Nurse/Nursing.</t>
  </si>
  <si>
    <t>Perioperative/Operating Room and Surgical Nurse/Nursing.</t>
  </si>
  <si>
    <t>Clinical Nurse Specialist.</t>
  </si>
  <si>
    <t>Critical Care Nursing.</t>
  </si>
  <si>
    <t>Occupational and Environmental Health Nursing.</t>
  </si>
  <si>
    <t>Emergency Room/Trauma Nursing.</t>
  </si>
  <si>
    <t>Nursing Education.</t>
  </si>
  <si>
    <t>Nursing Practice.</t>
  </si>
  <si>
    <t>Palliative Care Nursing.</t>
  </si>
  <si>
    <t>Clinical Nurse Leader.</t>
  </si>
  <si>
    <t>Geriatric Nurse/Nursing.</t>
  </si>
  <si>
    <t>Women's Health Nurse/Nursing.</t>
  </si>
  <si>
    <t>Forensic Nursing.</t>
  </si>
  <si>
    <t>Registered Nursing, Nursing Administration, Nursing Research and Clinical Nursing, Other.</t>
  </si>
  <si>
    <t>Practical Nursing, Vocational Nursing and Nursing Assistants.</t>
  </si>
  <si>
    <t>Licensed Practical/Vocational Nurse Training.</t>
  </si>
  <si>
    <t>Nursing Assistant/Aide and Patient Care Assistant/Aide.</t>
  </si>
  <si>
    <t>Practical Nursing, Vocational Nursing and Nursing Assistants, Other.</t>
  </si>
  <si>
    <t>Health Professions and Related Clinical Sciences, Other.</t>
  </si>
  <si>
    <t>BUSINESS, MANAGEMENT, MARKETING, AND RELATED SUPPORT SERVICES.</t>
  </si>
  <si>
    <t>Business/Commerce, General.</t>
  </si>
  <si>
    <t>Business Administration, Management and Operations.</t>
  </si>
  <si>
    <t>Business Administration and Management, General.</t>
  </si>
  <si>
    <t>Purchasing, Procurement/Acquisitions and Contracts Management.</t>
  </si>
  <si>
    <t>Logistics, Materials, and Supply Chain Management.</t>
  </si>
  <si>
    <t>Office Management and Supervision.</t>
  </si>
  <si>
    <t>Operations Management and Supervision.</t>
  </si>
  <si>
    <t>Non-Profit/Public/Organizational Management.</t>
  </si>
  <si>
    <t>Customer Service Management.</t>
  </si>
  <si>
    <t>E-Commerce/Electronic Commerce.</t>
  </si>
  <si>
    <t>Transportation/Mobility Management.</t>
  </si>
  <si>
    <t>Research and Development Management.</t>
  </si>
  <si>
    <t>Project Management.</t>
  </si>
  <si>
    <t>Retail Management.</t>
  </si>
  <si>
    <t>Organizational Leadership.</t>
  </si>
  <si>
    <t>Research Administration.</t>
  </si>
  <si>
    <t>Risk Management.</t>
  </si>
  <si>
    <t>Science/Technology Management.</t>
  </si>
  <si>
    <t>Business Administration, Management and Operations, Other.</t>
  </si>
  <si>
    <t>Accounting and Related Services.</t>
  </si>
  <si>
    <t>Accounting.</t>
  </si>
  <si>
    <t>Accounting Technology/Technician and Bookkeeping.</t>
  </si>
  <si>
    <t>Auditing.</t>
  </si>
  <si>
    <t>Accounting and Finance.</t>
  </si>
  <si>
    <t>Accounting and Business/Management.</t>
  </si>
  <si>
    <t>Accounting and Related Services, Other.</t>
  </si>
  <si>
    <t>Business Operations Support and Assistant Services.</t>
  </si>
  <si>
    <t>Administrative Assistant and Secretarial Science, General.</t>
  </si>
  <si>
    <t>Executive Assistant/Executive Secretary.</t>
  </si>
  <si>
    <t>Receptionist.</t>
  </si>
  <si>
    <t>Business/Office Automation/Technology/Data Entry.</t>
  </si>
  <si>
    <t>General Office Occupations and Clerical Services.</t>
  </si>
  <si>
    <t>Parts, Warehousing, and Inventory Management Operations.</t>
  </si>
  <si>
    <t>Traffic, Customs, and Transportation Clerk/Technician.</t>
  </si>
  <si>
    <t>Customer Service Support/Call Center/Teleservice Operation.</t>
  </si>
  <si>
    <t>Business Operations Support and Secretarial Services, Other.</t>
  </si>
  <si>
    <t>Business/Corporate Communications.</t>
  </si>
  <si>
    <t>Business/Corporate Communications, General.</t>
  </si>
  <si>
    <t>Grantsmanship.</t>
  </si>
  <si>
    <t>Business/Corporate Communications, Other.</t>
  </si>
  <si>
    <t>Business/Managerial Economics.</t>
  </si>
  <si>
    <t>Entrepreneurial and Small Business Operations.</t>
  </si>
  <si>
    <t>Entrepreneurship/Entrepreneurial Studies.</t>
  </si>
  <si>
    <t>Franchising and Franchise Operations.</t>
  </si>
  <si>
    <t>Small Business Administration/Management.</t>
  </si>
  <si>
    <t>Social Entrepreneurship.</t>
  </si>
  <si>
    <t>Entrepreneurial and Small Business Operations, Other.</t>
  </si>
  <si>
    <t>Finance and Financial Management Services.</t>
  </si>
  <si>
    <t>Finance, General.</t>
  </si>
  <si>
    <t>Banking and Financial Support Services.</t>
  </si>
  <si>
    <t>Financial Planning and Services.</t>
  </si>
  <si>
    <t>International Finance.</t>
  </si>
  <si>
    <t>Investments and Securities.</t>
  </si>
  <si>
    <t>Public Finance.</t>
  </si>
  <si>
    <t>Credit Management.</t>
  </si>
  <si>
    <t>Financial Risk Management.</t>
  </si>
  <si>
    <t>Finance and Financial Management Services, Other.</t>
  </si>
  <si>
    <t>Hospitality Administration/Management.</t>
  </si>
  <si>
    <t>Hospitality Administration/Management, General.</t>
  </si>
  <si>
    <t>Tourism and Travel Services Management.</t>
  </si>
  <si>
    <t>Hotel/Motel Administration/Management.</t>
  </si>
  <si>
    <t>Restaurant/Food Services Management.</t>
  </si>
  <si>
    <t>Resort Management.</t>
  </si>
  <si>
    <t>Meeting and Event Planning.</t>
  </si>
  <si>
    <t>Casino Management.</t>
  </si>
  <si>
    <t>Hotel, Motel, and Restaurant Management.</t>
  </si>
  <si>
    <t>Brewery/Brewpub Operations/Management.</t>
  </si>
  <si>
    <t>Hospitality Administration/Management, Other.</t>
  </si>
  <si>
    <t>Human Resources Management and Services.</t>
  </si>
  <si>
    <t>Human Resources Management/Personnel Administration, General.</t>
  </si>
  <si>
    <t>Labor and Industrial Relations.</t>
  </si>
  <si>
    <t>Organizational Behavior Studies.</t>
  </si>
  <si>
    <t>Labor Studies.</t>
  </si>
  <si>
    <t>Human Resources Development.</t>
  </si>
  <si>
    <t>Executive/Career Coaching.</t>
  </si>
  <si>
    <t>Human Resources Management and Services, Other.</t>
  </si>
  <si>
    <t>International Business.</t>
  </si>
  <si>
    <t>International Business/Trade/Commerce.</t>
  </si>
  <si>
    <t>Management Information Systems and Services.</t>
  </si>
  <si>
    <t>Management Information Systems, General.</t>
  </si>
  <si>
    <t>Information Resources Management.</t>
  </si>
  <si>
    <t>Knowledge Management.</t>
  </si>
  <si>
    <t>Management Information Systems and Services, Other.</t>
  </si>
  <si>
    <t>Management Sciences and Quantitative Methods.</t>
  </si>
  <si>
    <t>Management Science.</t>
  </si>
  <si>
    <t>Business Statistics.</t>
  </si>
  <si>
    <t>Actuarial Science.</t>
  </si>
  <si>
    <t>Management Sciences and Quantitative Methods, Other.</t>
  </si>
  <si>
    <t>Marketing.</t>
  </si>
  <si>
    <t>Marketing/Marketing Management, General.</t>
  </si>
  <si>
    <t>Marketing Research.</t>
  </si>
  <si>
    <t>International Marketing.</t>
  </si>
  <si>
    <t>Digital Marketing.</t>
  </si>
  <si>
    <t>Marketing, Other.</t>
  </si>
  <si>
    <t>Real Estate.</t>
  </si>
  <si>
    <t>Taxation.</t>
  </si>
  <si>
    <t>Insurance.</t>
  </si>
  <si>
    <t>General Sales, Merchandising and Related Marketing Operations.</t>
  </si>
  <si>
    <t>Sales, Distribution, and Marketing Operations, General.</t>
  </si>
  <si>
    <t>Merchandising and Buying Operations.</t>
  </si>
  <si>
    <t>Retailing and Retail Operations.</t>
  </si>
  <si>
    <t>Selling Skills and Sales Operations.</t>
  </si>
  <si>
    <t>General Merchandising, Sales, and Related Marketing Operations, Other.</t>
  </si>
  <si>
    <t>Specialized Sales, Merchandising and  Marketing Operations.</t>
  </si>
  <si>
    <t>Auctioneering.</t>
  </si>
  <si>
    <t>Fashion Merchandising.</t>
  </si>
  <si>
    <t>Fashion Modeling.</t>
  </si>
  <si>
    <t>Apparel and Accessories Marketing Operations.</t>
  </si>
  <si>
    <t>Tourism and Travel Services Marketing Operations.</t>
  </si>
  <si>
    <t>Tourism Promotion Operations.</t>
  </si>
  <si>
    <t>Vehicle and Vehicle Parts and Accessories Marketing Operations.</t>
  </si>
  <si>
    <t>Business and Personal/Financial Services Marketing Operations.</t>
  </si>
  <si>
    <t>Special Products Marketing Operations.</t>
  </si>
  <si>
    <t>Hospitality and Recreation Marketing Operations.</t>
  </si>
  <si>
    <t>Specialized Merchandising, Sales, and Marketing Operations, Other.</t>
  </si>
  <si>
    <t>Construction Management.</t>
  </si>
  <si>
    <t>Construction Management, General.</t>
  </si>
  <si>
    <t>Construction Project Management.</t>
  </si>
  <si>
    <t>Construction Management, Other.</t>
  </si>
  <si>
    <t>Telecommunications Management.</t>
  </si>
  <si>
    <t>Business, Management, Marketing, and Related Support Services, Other.</t>
  </si>
  <si>
    <t>HIGH SCHOOL/SECONDARY DIPLOMAS AND CERTIFICATES.</t>
  </si>
  <si>
    <t>High School/Secondary Diploma Programs.</t>
  </si>
  <si>
    <t>Regular/General High School/Secondary Diploma Program.</t>
  </si>
  <si>
    <t>College/University Preparatory and Advanced High School/Secondary Diploma Program.</t>
  </si>
  <si>
    <t>Vocational High School and Secondary Business/Vocational-Industrial/Occupational Diploma Program.</t>
  </si>
  <si>
    <t>Honors/Regents High School/Secondary Diploma Program.</t>
  </si>
  <si>
    <t>Adult High School/Secondary Diploma Program.</t>
  </si>
  <si>
    <t>High School/Secondary Diploma Programs, Other.</t>
  </si>
  <si>
    <t>High School/Secondary Certificate Programs.</t>
  </si>
  <si>
    <t>High School Equivalence Certificate Program.</t>
  </si>
  <si>
    <t>High School Certificate of Competence Program.</t>
  </si>
  <si>
    <t>Certificate of IEP Completion Program.</t>
  </si>
  <si>
    <t>High School/Secondary Certificates, Other.</t>
  </si>
  <si>
    <t>HISTORY.</t>
  </si>
  <si>
    <t>History.</t>
  </si>
  <si>
    <t>History, General.</t>
  </si>
  <si>
    <t>American  History (United States).</t>
  </si>
  <si>
    <t>European History.</t>
  </si>
  <si>
    <t>History and Philosophy of Science and Technology.</t>
  </si>
  <si>
    <t>Public/Applied History.</t>
  </si>
  <si>
    <t>Asian History.</t>
  </si>
  <si>
    <t>Canadian History.</t>
  </si>
  <si>
    <t>Military History.</t>
  </si>
  <si>
    <t>History, Other.</t>
  </si>
  <si>
    <t>RESIDENCY PROGRAMS.</t>
  </si>
  <si>
    <t>HEALTH PROFESSIONS RESIDENCY/FELLOWSHIP PROGRAMS.</t>
  </si>
  <si>
    <t>Dental Residency Programs.</t>
  </si>
  <si>
    <t>Dental Residency/Fellowship Programs.</t>
  </si>
  <si>
    <t>Oral and Maxillofacial Surgery Residency Program.</t>
  </si>
  <si>
    <t>Dental Public Health Residency Program.</t>
  </si>
  <si>
    <t>Endodontics Residency Program.</t>
  </si>
  <si>
    <t>Oral and Maxillofacial Pathology Residency Program.</t>
  </si>
  <si>
    <t>Orthodontics Residency Program.</t>
  </si>
  <si>
    <t>Pediatric Dentistry Residency Program.</t>
  </si>
  <si>
    <t>Periodontology Residency Program.</t>
  </si>
  <si>
    <t>Prosthodontics Residency Program.</t>
  </si>
  <si>
    <t>Oral and Maxillofacial Radiology Residency Program.</t>
  </si>
  <si>
    <t>Implantology Fellowship Program.</t>
  </si>
  <si>
    <t>Dental Residency Program, Other.</t>
  </si>
  <si>
    <t>Dental Residency/Fellowship Program, Other.</t>
  </si>
  <si>
    <t>Veterinary Residency Programs.</t>
  </si>
  <si>
    <t>Veterinary Residency/Fellowship Programs.</t>
  </si>
  <si>
    <t>Veterinary Anesthesiology Residency Program.</t>
  </si>
  <si>
    <t>Veterinary Dentistry Residency Program.</t>
  </si>
  <si>
    <t>Veterinary Dermatology Residency Program.</t>
  </si>
  <si>
    <t>Veterinary Emergency and Critical Care Medicine Residency Program.</t>
  </si>
  <si>
    <t>Veterinary Internal Medicine Residency Program.</t>
  </si>
  <si>
    <t>Laboratory Animal Medicine Residency Program.</t>
  </si>
  <si>
    <t>Veterinary Microbiology Residency Program.</t>
  </si>
  <si>
    <t>Veterinary Nutrition Residency Program.</t>
  </si>
  <si>
    <t>Veterinary Ophthalmology Residency Program.</t>
  </si>
  <si>
    <t>Veterinary Pathology Residency Program.</t>
  </si>
  <si>
    <t>Veterinary Practice Residency Program.</t>
  </si>
  <si>
    <t>Veterinary Preventive Medicine Residency Program.</t>
  </si>
  <si>
    <t>Veterinary Radiology Residency Program.</t>
  </si>
  <si>
    <t>Veterinary Surgery Residency Program.</t>
  </si>
  <si>
    <t>Theriogenology Residency Program.</t>
  </si>
  <si>
    <t>Veterinary Toxicology Residency Program.</t>
  </si>
  <si>
    <t>Zoological Medicine Residency Program.</t>
  </si>
  <si>
    <t>Poultry Veterinarian Residency Program.</t>
  </si>
  <si>
    <t>Veterinary Behaviorist Residency Program.</t>
  </si>
  <si>
    <t>Veterinary Clinical Pharmacology Residency Program.</t>
  </si>
  <si>
    <t>Veterinary Residency Programs, Other.</t>
  </si>
  <si>
    <t>Veterinary Residency/Fellowship Program, Other.</t>
  </si>
  <si>
    <t>Medical Residency Programs - General Certificates.</t>
  </si>
  <si>
    <t>Aerospace Medicine Residency Program.</t>
  </si>
  <si>
    <t>Allergy and Immunology Residency Program.</t>
  </si>
  <si>
    <t>Allergy and Immunology Fellowship Program.</t>
  </si>
  <si>
    <t>Anesthesiology Residency Program.</t>
  </si>
  <si>
    <t>Child Neurology Residency Program.</t>
  </si>
  <si>
    <t>Clinical Biochemical Genetics Residency Program.</t>
  </si>
  <si>
    <t>Clinical Cytogenetics Residency Program.</t>
  </si>
  <si>
    <t>Deleted, report under 61.0903</t>
  </si>
  <si>
    <t>Clinical Genetics Residency Program.</t>
  </si>
  <si>
    <t>Clinical Genetics and Genomics Residency Program.</t>
  </si>
  <si>
    <t>Clinical Molecular Genetics Residency Program.</t>
  </si>
  <si>
    <t>Colon and Rectal Surgery Residency Program.</t>
  </si>
  <si>
    <t>Dermatology Residency Program.</t>
  </si>
  <si>
    <t>Diagnostic Radiology Residency Program.</t>
  </si>
  <si>
    <t>Emergency Medicine Residency Program.</t>
  </si>
  <si>
    <t>Family Medicine Residency Program.</t>
  </si>
  <si>
    <t>General Surgery Residency Program.</t>
  </si>
  <si>
    <t>Internal Medicine Residency Program.</t>
  </si>
  <si>
    <t>Neurological Surgery Residency Program.</t>
  </si>
  <si>
    <t>Neurology Residency Program.</t>
  </si>
  <si>
    <t>Nuclear Medicine Residency Program.</t>
  </si>
  <si>
    <t>Obstetrics and Gynecology Residency Program.</t>
  </si>
  <si>
    <t>Occupational Medicine Residency Program.</t>
  </si>
  <si>
    <t>Ophthalmology Residency Program.</t>
  </si>
  <si>
    <t>Orthopedic Surgery Residency Program.</t>
  </si>
  <si>
    <t>Otolaryngology Residency Program.</t>
  </si>
  <si>
    <t>Pathology Residency Program.</t>
  </si>
  <si>
    <t>Combined Anatomic and Clinical Pathology Residency Program.</t>
  </si>
  <si>
    <t>Pediatrics Residency Program.</t>
  </si>
  <si>
    <t>Physical Medicine and Rehabilitation Residency Program.</t>
  </si>
  <si>
    <t>Plastic Surgery Residency Program.</t>
  </si>
  <si>
    <t>Psychiatry Residency Program.</t>
  </si>
  <si>
    <t>Public Health and General Preventive Medicine Residency Program.</t>
  </si>
  <si>
    <t>Radiation Oncology Residency Program.</t>
  </si>
  <si>
    <t>Radiologic Physics Residency Program.</t>
  </si>
  <si>
    <t>Thoracic Surgery Residency Program.</t>
  </si>
  <si>
    <t>Thoracic Surgery Fellowship Program.</t>
  </si>
  <si>
    <t>Urology Residency Program.</t>
  </si>
  <si>
    <t>Vascular Surgery Residency Program.</t>
  </si>
  <si>
    <t>Vascular Surgery Fellowship Program.</t>
  </si>
  <si>
    <t>Medical Residency Programs - General Certificates, Other.</t>
  </si>
  <si>
    <t>Medical Residency Programs - Subspecialty Certificates.</t>
  </si>
  <si>
    <t>Addiction Psychiatry Residency Program.</t>
  </si>
  <si>
    <t>Addiction Psychiatry Fellowship Program.</t>
  </si>
  <si>
    <t>Adolescent Medicine Residency Program.</t>
  </si>
  <si>
    <t>Adolescent Medicine Fellowship Program.</t>
  </si>
  <si>
    <t>Blood Banking/Transfusion Medicine Residency Program.</t>
  </si>
  <si>
    <t>Blood Banking/Transfusion Medicine Fellowship Program.</t>
  </si>
  <si>
    <t>Cardiovascular Disease Residency Program.</t>
  </si>
  <si>
    <t>Cardiovascular Disease Fellowship Program.</t>
  </si>
  <si>
    <t>Chemical Pathology Residency Program.</t>
  </si>
  <si>
    <t>Chemical Pathology Fellowship Program.</t>
  </si>
  <si>
    <t>Child Abuse Pediatrics Residency Program.</t>
  </si>
  <si>
    <t>Child Abuse Pediatrics Fellowship Program.</t>
  </si>
  <si>
    <t>Child and Adolescent Psychiatry Residency Program.</t>
  </si>
  <si>
    <t>Child and Adolescent Psychiatry Fellowship Program.</t>
  </si>
  <si>
    <t>Clinical Cardiac Electrophysiology Residency Program.</t>
  </si>
  <si>
    <t>Clinical Cardiac Electrophysiology Fellowship Program.</t>
  </si>
  <si>
    <t>Clinical Neurophysiology Residency Program.</t>
  </si>
  <si>
    <t>Clinical Neurophysiology Fellowship Program.</t>
  </si>
  <si>
    <t>Congenital Cardiac Surgery Residency Program.</t>
  </si>
  <si>
    <t>Congenital Cardiac Surgery Fellowship Program.</t>
  </si>
  <si>
    <t>Critical Care Medicine Residency Program.</t>
  </si>
  <si>
    <t>Critical Care Medicine Fellowship Program.</t>
  </si>
  <si>
    <t>Cytopathology Residency Program.</t>
  </si>
  <si>
    <t>Cytopathology Fellowship Program.</t>
  </si>
  <si>
    <t>Dermatopathology Residency Program.</t>
  </si>
  <si>
    <t>Dermatopathology Fellowship Program.</t>
  </si>
  <si>
    <t>Developmental-Behavioral Pediatrics Residency Program.</t>
  </si>
  <si>
    <t>Developmental-Behavioral Pediatrics Fellowship Program.</t>
  </si>
  <si>
    <t>Diagnostic Radiologic Physics Residency Program.</t>
  </si>
  <si>
    <t>Endocrinology, Diabetes and Metabolism Residency Program.</t>
  </si>
  <si>
    <t>Endocrinology, Diabetes, and Metabolism Fellowship Program.</t>
  </si>
  <si>
    <t>Forensic Pathology Residency Program.</t>
  </si>
  <si>
    <t>Forensic Pathology Fellowship Program.</t>
  </si>
  <si>
    <t>Forensic Psychiatry Residency Program.</t>
  </si>
  <si>
    <t>Forensic Psychiatry Fellowship Program.</t>
  </si>
  <si>
    <t>Gastroenterology Residency Program.</t>
  </si>
  <si>
    <t>Gastroenterology Fellowship Program.</t>
  </si>
  <si>
    <t>Geriatric Medicine Residency Program.</t>
  </si>
  <si>
    <t>Geriatric Medicine Fellowship Program.</t>
  </si>
  <si>
    <t>Geriatric Psychiatry Residency Program.</t>
  </si>
  <si>
    <t>Geriatric Psychiatry Fellowship Program.</t>
  </si>
  <si>
    <t>Gynecologic Oncology Residency Program.</t>
  </si>
  <si>
    <t>Gynecologic Oncology Fellowship Program.</t>
  </si>
  <si>
    <t>Hematological Pathology Residency Program.</t>
  </si>
  <si>
    <t>Hematological Pathology Fellowship Program.</t>
  </si>
  <si>
    <t>Hematology Residency Program.</t>
  </si>
  <si>
    <t>Hematology Fellowship Program.</t>
  </si>
  <si>
    <t>Hospice and Palliative Medicine Residency Program.</t>
  </si>
  <si>
    <t>Hospice and Palliative Medicine Fellowship Program.</t>
  </si>
  <si>
    <t>Immunopathology Residency Program.</t>
  </si>
  <si>
    <t>Immunopathology Fellowship Program.</t>
  </si>
  <si>
    <t>Infectious Disease Residency Program.</t>
  </si>
  <si>
    <t>Infectious Disease Fellowship Program.</t>
  </si>
  <si>
    <t>Interventional Cardiology Residency Program.</t>
  </si>
  <si>
    <t>Interventional Cardiology Fellowship Program.</t>
  </si>
  <si>
    <t>Laboratory Medicine Residency Program.</t>
  </si>
  <si>
    <t>Laboratory Medicine Fellowship Program.</t>
  </si>
  <si>
    <t>Maternal and Fetal Medicine Residency Program.</t>
  </si>
  <si>
    <t>Maternal and Fetal Medicine Fellowship Program.</t>
  </si>
  <si>
    <t>Medical Biochemical Genetics Residency Program.</t>
  </si>
  <si>
    <t>Medical Microbiology Residency Program.</t>
  </si>
  <si>
    <t>Medical Microbiology Fellowship Program.</t>
  </si>
  <si>
    <t>Medical Nuclear Physics Residency Program.</t>
  </si>
  <si>
    <t>Medical Oncology Residency Program.</t>
  </si>
  <si>
    <t>Medical Oncology Fellowship Program.</t>
  </si>
  <si>
    <t>Medical Toxicology Residency Program.</t>
  </si>
  <si>
    <t>Medical Toxicology Fellowship Program.</t>
  </si>
  <si>
    <t>Molecular Genetic Pathology Residency Program.</t>
  </si>
  <si>
    <t>Molecular Genetic Pathology Fellowship Program.</t>
  </si>
  <si>
    <t>Musculoskeletal Oncology Residency Program.</t>
  </si>
  <si>
    <t>Musculoskeletal Oncology Fellowship Program.</t>
  </si>
  <si>
    <t>Neonatal-Perinatal Medicine Residency Program.</t>
  </si>
  <si>
    <t>Neonatal-Perinatal Medicine Fellowship Program.</t>
  </si>
  <si>
    <t>Nephrology Residency Program.</t>
  </si>
  <si>
    <t>Nephrology Fellowship Program.</t>
  </si>
  <si>
    <t>Neurodevelopmental Disabilities Residency Program.</t>
  </si>
  <si>
    <t>Neurodevelopmental Disabilities Fellowship Program.</t>
  </si>
  <si>
    <t>Neuromuscular Medicine Residency Program.</t>
  </si>
  <si>
    <t>Neuromuscular Medicine Fellowship Program.</t>
  </si>
  <si>
    <t>Neuropathology Residency Program.</t>
  </si>
  <si>
    <t>Neuropathology Fellowship Program.</t>
  </si>
  <si>
    <t>Neuroradiology Residency Program.</t>
  </si>
  <si>
    <t>Neuroradiology Fellowship Program.</t>
  </si>
  <si>
    <t>Neurotology Residency Program.</t>
  </si>
  <si>
    <t>Neurotology Fellowship Program.</t>
  </si>
  <si>
    <t>Nuclear Radiology Residency Program.</t>
  </si>
  <si>
    <t>Nuclear Radiology Fellowship Program.</t>
  </si>
  <si>
    <t>Orthopedic Sports Medicine Residency Program.</t>
  </si>
  <si>
    <t>Orthopedic Sports Medicine Fellowship Program.</t>
  </si>
  <si>
    <t>Orthopedic Surgery of the Spine Residency Program.</t>
  </si>
  <si>
    <t>Orthopedic Surgery of the Spine Fellowship Program.</t>
  </si>
  <si>
    <t>Pain Medicine Residency Program.</t>
  </si>
  <si>
    <t>Pain Medicine Fellowship Program.</t>
  </si>
  <si>
    <t>Pediatric Cardiology Residency Program.</t>
  </si>
  <si>
    <t>Pediatric Cardiology Fellowship Program.</t>
  </si>
  <si>
    <t>Pediatric Critical Care Medicine Residency Program.</t>
  </si>
  <si>
    <t>Pediatric Critical Care Medicine Fellowship Program.</t>
  </si>
  <si>
    <t>Pediatric Dermatology Residency Program.</t>
  </si>
  <si>
    <t>Pediatric Dermatology Fellowship Program.</t>
  </si>
  <si>
    <t>Pediatric Emergency Medicine Residency Program.</t>
  </si>
  <si>
    <t>Pediatric Emergency Medicine Fellowship Program.</t>
  </si>
  <si>
    <t>Pediatric Endocrinology Residency Program.</t>
  </si>
  <si>
    <t>Pediatric Endocrinology Fellowship Program.</t>
  </si>
  <si>
    <t>Pediatric Gastroenterology Residency Program.</t>
  </si>
  <si>
    <t>Pediatric Gastroenterology Fellowship Program.</t>
  </si>
  <si>
    <t>Pediatric Hematology-Oncology Residency Program.</t>
  </si>
  <si>
    <t>Pediatric Hematology-Oncology Fellowship Program.</t>
  </si>
  <si>
    <t>Pediatric Infectious Diseases Residency Program.</t>
  </si>
  <si>
    <t>Pediatric Infectious Diseases Fellowship Program.</t>
  </si>
  <si>
    <t>Pediatric Nephrology Residency Program.</t>
  </si>
  <si>
    <t>Pediatric Nephrology Fellowship Program.</t>
  </si>
  <si>
    <t>Pediatric Orthopedics Residency Program.</t>
  </si>
  <si>
    <t>Pediatric Orthopedics Fellowship Program.</t>
  </si>
  <si>
    <t>Pediatric Otolaryngology Residency Program.</t>
  </si>
  <si>
    <t>Pediatric Otolaryngology Fellowship Program.</t>
  </si>
  <si>
    <t>Pediatric Pathology Residency Program.</t>
  </si>
  <si>
    <t>Pediatric Pathology Fellowship Program.</t>
  </si>
  <si>
    <t>Pediatric Pulmonology Residency Program.</t>
  </si>
  <si>
    <t>Pediatric Pulmonology Fellowship Program.</t>
  </si>
  <si>
    <t>Pediatric Radiology Residency Program.</t>
  </si>
  <si>
    <t>Pediatric Radiology Fellowship Program.</t>
  </si>
  <si>
    <t>Pediatric Rehabilitation Medicine Residency Program.</t>
  </si>
  <si>
    <t>Pediatric Rehabilitation Medicine Fellowship Program.</t>
  </si>
  <si>
    <t>Pediatric Rheumatology Residency Program.</t>
  </si>
  <si>
    <t>Pediatric Rheumatology Fellowship Program.</t>
  </si>
  <si>
    <t>Pediatric Surgery Residency Program.</t>
  </si>
  <si>
    <t>Pediatric Surgery Fellowship Program.</t>
  </si>
  <si>
    <t>Pediatric Transplant Hepatology Residency Program.</t>
  </si>
  <si>
    <t>Pediatric Transplant Hepatology Fellowship Program.</t>
  </si>
  <si>
    <t>Pediatric Urology Residency Program.</t>
  </si>
  <si>
    <t>Pediatric Urology Fellowship Program.</t>
  </si>
  <si>
    <t>Physical Medicine and Rehabilitation/Psychiatry Residency Program.</t>
  </si>
  <si>
    <t>Deleted, report under 61.0199</t>
  </si>
  <si>
    <t>Plastic Surgery Within the Head and Neck Residency Program.</t>
  </si>
  <si>
    <t>Plastic Surgery Within the Head and Neck Fellowship Program.</t>
  </si>
  <si>
    <t>Psychosomatic Medicine Residency Program.</t>
  </si>
  <si>
    <t>Consultation-Liaison Psychiatry Fellowship Program.</t>
  </si>
  <si>
    <t>Pulmonary Disease Residency Program.</t>
  </si>
  <si>
    <t>Pulmonary Disease Fellowship Program.</t>
  </si>
  <si>
    <t>Radioisotopic Pathology Residency Program.</t>
  </si>
  <si>
    <t>Radioisotopic Pathology Fellowship Program.</t>
  </si>
  <si>
    <t>Reproductive Endocrinology/Infertility Residency Program.</t>
  </si>
  <si>
    <t>Reproductive Endocrinology/Infertility Fellowship Program.</t>
  </si>
  <si>
    <t>Rheumatology Residency Program.</t>
  </si>
  <si>
    <t>Rheumatology Fellowship Program.</t>
  </si>
  <si>
    <t>Sleep Medicine Residency Program.</t>
  </si>
  <si>
    <t>Sleep Medicine Fellowship Program.</t>
  </si>
  <si>
    <t>Spinal Cord Injury Medicine Residency Program.</t>
  </si>
  <si>
    <t>Spinal Cord Injury Medicine Fellowship Program.</t>
  </si>
  <si>
    <t>Sports Medicine Residency Program.</t>
  </si>
  <si>
    <t>Sports Medicine Fellowship Program.</t>
  </si>
  <si>
    <t>Surgery of the Hand Residency Program.</t>
  </si>
  <si>
    <t>Surgery of the Hand Fellowship Program.</t>
  </si>
  <si>
    <t>Surgical Critical Care Residency Program.</t>
  </si>
  <si>
    <t>Surgical Critical Care Fellowship Program.</t>
  </si>
  <si>
    <t>Therapeutic Radiologic Physics Residency Program.</t>
  </si>
  <si>
    <t>Transplant Hepatology Residency Program.</t>
  </si>
  <si>
    <t>Transplant Hepatology Fellowship Program.</t>
  </si>
  <si>
    <t>Undersea and Hyperbaric Medicine Residency Program.</t>
  </si>
  <si>
    <t>Undersea and Hyperbaric Medicine Fellowship Program.</t>
  </si>
  <si>
    <t>Vascular and Interventional Radiology Residency Program.</t>
  </si>
  <si>
    <t>Vascular and Interventional Radiology Fellowship Program.</t>
  </si>
  <si>
    <t>Vascular Neurology Residency Program.</t>
  </si>
  <si>
    <t>Vascular Neurology Fellowship Program.</t>
  </si>
  <si>
    <t>Medical Residency Programs - Subspecialty Certificates, Other.</t>
  </si>
  <si>
    <t>Podiatric Medicine Residency Programs.</t>
  </si>
  <si>
    <t>Podiatric Medicine Residency/Fellowship Programs.</t>
  </si>
  <si>
    <t>Podiatric Medicine and Surgery - 24 Residency Program.</t>
  </si>
  <si>
    <t>Deleted, report under 61.2201</t>
  </si>
  <si>
    <t>Podiatric Medicine and Surgery - 36 Residency Program.</t>
  </si>
  <si>
    <t>Nurse Practitioner Residency/Fellowship Programs.</t>
  </si>
  <si>
    <t>Nurse Practitioner Residency/Fellowship Program, General.</t>
  </si>
  <si>
    <t>Combined Nurse Practitioner Residency/Fellowship Program.</t>
  </si>
  <si>
    <t>Acute Care Nurse Practitioner Residency/Fellowship Program.</t>
  </si>
  <si>
    <t>Adult/Gerontology Acute Care Nurse Practitioner Residency/Fellowship Program.</t>
  </si>
  <si>
    <t>Adult/Gerontology Critical Care Nurse Practitioner Residency/Fellowship Program.</t>
  </si>
  <si>
    <t>Cardiology/Cardiovascular Nurse Practitioner Residency/Fellowship Program.</t>
  </si>
  <si>
    <t>Clinical Informatics Nurse Practitioner Residency/Fellowship Program.</t>
  </si>
  <si>
    <t>Dermatology Nurse Practitioner Residency/Fellowship Program.</t>
  </si>
  <si>
    <t>Developmental and Behavioral Pediatrics Nurse Practitioner Residency/Fellowship Program.</t>
  </si>
  <si>
    <t>Diabetes Nurse Practitioner Residency/Fellowship Program.</t>
  </si>
  <si>
    <t>Emergency Medicine Nurse Practitioner Residency/Fellowship Program.</t>
  </si>
  <si>
    <t>Endocrinology Nurse Practitioner Residency/Fellowship Program.</t>
  </si>
  <si>
    <t>Family Medicine Nurse Practitioner Residency/Fellowship Program.</t>
  </si>
  <si>
    <t>Gastroenterology and Hepatology Nurse Practitioner Residency/Fellowship Program.</t>
  </si>
  <si>
    <t>Gastroenterology Nurse Practitioner Residency/Fellowship Program.</t>
  </si>
  <si>
    <t>Genetics Nurse Practitioner Residency/Fellowship Program.</t>
  </si>
  <si>
    <t>Gerontology Nurse Practitioner Residency/Fellowship Program.</t>
  </si>
  <si>
    <t>Global Health Nurse Practitioner Residency/Fellowship Program.</t>
  </si>
  <si>
    <t>Hematology-Oncology Nurse Practitioner Residency/Fellowship Program.</t>
  </si>
  <si>
    <t>Hepatology Nurse Practitioner Residency/Fellowship Program.</t>
  </si>
  <si>
    <t>Home-Based Primary Care Nurse Practitioner Residency/Fellowship Program.</t>
  </si>
  <si>
    <t>Hospice and Palliative Medicine Nurse Practitioner Residency/Fellowship Program.</t>
  </si>
  <si>
    <t>Hospital Medicine Nurse Practitioner Residency/Fellowship Program.</t>
  </si>
  <si>
    <t>Infectious Diseases Nurse Practitioner Residency/Fellowship Program.</t>
  </si>
  <si>
    <t>Neonatal Nurse Practitioner Residency/Fellowship Program.</t>
  </si>
  <si>
    <t>Nephrology Nurse Practitioner Residency/Fellowship Program.</t>
  </si>
  <si>
    <t>Neurology Nurse Practitioner Residency/Fellowship Program.</t>
  </si>
  <si>
    <t>Neuroscience Nurse Practitioner Residency/Fellowship Program.</t>
  </si>
  <si>
    <t>Obstetrics and Gynecology Nurse Practitioner Residency/Fellowship Program.</t>
  </si>
  <si>
    <t>Occupational Health Nurse Practitioner Residency/Fellowship Program.</t>
  </si>
  <si>
    <t>Orthopedic Nurse Practitioner Residency/Fellowship Program.</t>
  </si>
  <si>
    <t>Orthopedic Surgery Nurse Practitioner Residency/Fellowship Program.</t>
  </si>
  <si>
    <t>Pain Management Nurse Practitioner Residency/Fellowship Program.</t>
  </si>
  <si>
    <t>Palliative Care Nurse Practitioner Residency/Fellowship Program.</t>
  </si>
  <si>
    <t>Pediatric Hematology-Oncology Nurse Practitioner Residency/Fellowship Program.</t>
  </si>
  <si>
    <t>Pediatric Nurse Practitioner Residency/Fellowship Program.</t>
  </si>
  <si>
    <t>Pediatric Rehabilitation Nurse Practitioner Residency/Fellowship Program.</t>
  </si>
  <si>
    <t>Psychiatric/Mental Health Nurse Practitioner Residency/Fellowship Program.</t>
  </si>
  <si>
    <t>Public/Community Health Nurse Practitioner Residency/Fellowship Program.</t>
  </si>
  <si>
    <t>Pulmonary Nurse Practitioner Residency/Fellowship Program.</t>
  </si>
  <si>
    <t>Rheumatology Nurse Practitioner Residency/Fellowship Program.</t>
  </si>
  <si>
    <t>Rural Health Nurse Practitioner Residency/Fellowship Program.</t>
  </si>
  <si>
    <t>Sleep Medicine Nurse Practitioner Residency/Fellowship Program.</t>
  </si>
  <si>
    <t>Surgical and Critical Care Nurse Practitioner Residency/Fellowship Program.</t>
  </si>
  <si>
    <t>Surgical Wound and Reconstruction Nurse Practitioner Residency/Fellowship Program.</t>
  </si>
  <si>
    <t>Transplantation Nurse Practitioner Residency/Fellowship Program.</t>
  </si>
  <si>
    <t>Trauma and Critical Care Nurse Practitioner Residency/Fellowship Program.</t>
  </si>
  <si>
    <t>Urgent Care Nurse Practitioner Residency/Fellowship Program.</t>
  </si>
  <si>
    <t>Urology Nurse Practitioner Residency/Fellowship Program.</t>
  </si>
  <si>
    <t>Women's Health Nurse Practitioner Residency/Fellowship Program.</t>
  </si>
  <si>
    <t>Wound Care Nurse Practitioner Residency/Fellowship Program.</t>
  </si>
  <si>
    <t>Nurse Practitioner Residency/Fellowship Program, Other.</t>
  </si>
  <si>
    <t>Pharmacy Residency/Fellowship Programs.</t>
  </si>
  <si>
    <t>Pharmacy Residency/Fellowship Program, General.</t>
  </si>
  <si>
    <t>Combined Pharmacy Residency/Fellowship Program.</t>
  </si>
  <si>
    <t>Ambulatory Care Pharmacy Residency/Fellowship Program.</t>
  </si>
  <si>
    <t>Cardiology Pharmacy Residency/Fellowship Program.</t>
  </si>
  <si>
    <t>Clinical Pharmacogenomics Pharmacy Residency/Fellowship Program.</t>
  </si>
  <si>
    <t>Community/Community-Based Pharmacy Residency/Fellowship Program.</t>
  </si>
  <si>
    <t>Corporate Pharmacy Leadership Residency/Fellowship Program.</t>
  </si>
  <si>
    <t>Critical Care Pharmacy Residency/Fellowship Program.</t>
  </si>
  <si>
    <t>Drug Information Pharmacy Residency/Fellowship Program</t>
  </si>
  <si>
    <t>Emergency Medicine Pharmacy Residency/Fellowship Program.</t>
  </si>
  <si>
    <t>Family Medicine Pharmacy Residency/Fellowship Program.</t>
  </si>
  <si>
    <t>Geriatric Pharmacy Residency/Fellowship Program.</t>
  </si>
  <si>
    <t>Health System Medication Management Pharmacy Residency/Fellowship Program.</t>
  </si>
  <si>
    <t>Health System Pharmacy Administration and Leadership Residency/Fellowship Program.</t>
  </si>
  <si>
    <t>Infectious Diseases Pharmacy Residency/Fellowship Program.</t>
  </si>
  <si>
    <t>Internal Medicine Pharmacy Residency/Fellowship Program.</t>
  </si>
  <si>
    <t>Investigational Drugs and Research Pharmacy Residency/Fellowship Program.</t>
  </si>
  <si>
    <t>Managed Care Pharmacy Residency/Fellowship Program.</t>
  </si>
  <si>
    <t>Medication Systems and Operations Pharmacy Residency/Fellowship Program.</t>
  </si>
  <si>
    <t>Medication-Use Safety Pharmacy Residency/Fellowship Program.</t>
  </si>
  <si>
    <t>Neonatal Pharmacy Residency/Fellowship Program.</t>
  </si>
  <si>
    <t>Nephrology Pharmacy Residency/Fellowship Program.</t>
  </si>
  <si>
    <t>Neurology Pharmacy Residency/Fellowship Program.</t>
  </si>
  <si>
    <t>Nuclear Pharmacy Residency/Fellowship Program.</t>
  </si>
  <si>
    <t>Nutrition Support Pharmacy Residency/Fellowship Program.</t>
  </si>
  <si>
    <t>Oncology Pharmacy Residency/Fellowship Program.</t>
  </si>
  <si>
    <t>Palliative Care/Pain Management Pharmacy Residency/Fellowship Program.</t>
  </si>
  <si>
    <t>Pediatric Pharmacy Residency/Fellowship Program.</t>
  </si>
  <si>
    <t>Pharmacotherapy Pharmacy Residency/Fellowship Program.</t>
  </si>
  <si>
    <t>Pharmacy Informatics Pharmacy Residency/Fellowship Program.</t>
  </si>
  <si>
    <t>Psychiatric Pharmacy Residency/Fellowship Program.</t>
  </si>
  <si>
    <t>Transplantation Pharmacy Residency/Fellowship Program.</t>
  </si>
  <si>
    <t>Pharmacy Residency Programs, Other.</t>
  </si>
  <si>
    <t>Physician Assistant Residency/Fellowship Programs.</t>
  </si>
  <si>
    <t>Physician Assistant Residency/Fellowship Program, General.</t>
  </si>
  <si>
    <t>Combined Physician Assistant Residency/Fellowship Program.</t>
  </si>
  <si>
    <t>Acute Care Medicine Physician Assistant Residency/Fellowship Program.</t>
  </si>
  <si>
    <t>Acute Care Surgery Physician Assistant Residency/Fellowship Program.</t>
  </si>
  <si>
    <t>Cardiology Physician Assistant Residency/Fellowship Program.</t>
  </si>
  <si>
    <t>Cardiothoracic Surgery Physician Assistant Residency/Fellowship Program.</t>
  </si>
  <si>
    <t>Critical Care Physician Assistant Residency/Fellowship Program.</t>
  </si>
  <si>
    <t>Critical Care and Trauma Surgery Physician Assistant Residency/Fellowship Program.</t>
  </si>
  <si>
    <t>Emergency Medicine Physician Assistant Residency/Fellowship Program.</t>
  </si>
  <si>
    <t>ENT Surgery Physician Assistant Residency/Fellowship Program.</t>
  </si>
  <si>
    <t>Family Medicine Physician Assistant Residency/Fellowship Program.</t>
  </si>
  <si>
    <t>Geriatrics Physician Assistant Residency/Fellowship Program.</t>
  </si>
  <si>
    <t>Hematology-Oncology Physician Assistant Residency/Fellowship Program.</t>
  </si>
  <si>
    <t>Hepatobiliary Surgery Physician Assistant Residency/Fellowship Program.</t>
  </si>
  <si>
    <t>Hospitalist Physician Assistant Residency/Fellowship Program.</t>
  </si>
  <si>
    <t>Neurosurgery Physician Assistant Residency/Fellowship Program.</t>
  </si>
  <si>
    <t>Orthopedic Surgery Physician Assistant Residency/Fellowship Program.</t>
  </si>
  <si>
    <t>Pediatric Surgery Physician Assistant Residency/Fellowship Program.</t>
  </si>
  <si>
    <t>Transplant Surgery Physician Assistant Residency/Fellowship Program.</t>
  </si>
  <si>
    <t>Urology Physician Assistant Residency/Fellowship Program.</t>
  </si>
  <si>
    <t>Physician Assistant Residency/Fellowship Program, Other.</t>
  </si>
  <si>
    <t>Health Professions Residency/Fellowship Programs, Other.</t>
  </si>
  <si>
    <t>MEDICAL RESIDENCY/FELLOWSHIP PROGRAMS.</t>
  </si>
  <si>
    <t>Combined Medical Residency/Fellowship Programs.</t>
  </si>
  <si>
    <t>Combined Medical Residency/Fellowship Program, General.</t>
  </si>
  <si>
    <t>Diagnostic Radiology/Nuclear Medicine Combined Specialty Program.</t>
  </si>
  <si>
    <t>Emergency Medicine/Anesthesiology Combined Specialty Program.</t>
  </si>
  <si>
    <t>Family Medicine/Emergency Medicine Combined Specialty Program.</t>
  </si>
  <si>
    <t>Family Medicine/Osteopathic Neuromusculoskeletal Medicine Combined Specialty Program.</t>
  </si>
  <si>
    <t>Family Medicine/Preventive Medicine Combined Specialty Program.</t>
  </si>
  <si>
    <t>Family Medicine/Psychiatry Combined Specialty Program.</t>
  </si>
  <si>
    <t>Internal Medicine/Anesthesiology Combined Specialty Program.</t>
  </si>
  <si>
    <t>Internal Medicine/Dermatology Combined Specialty Program.</t>
  </si>
  <si>
    <t>Internal Medicine/Emergency Medicine Combined Specialty Program.</t>
  </si>
  <si>
    <t>Internal Medicine/Emergency Medicine/Critical Care Medicine Combined Specialty Program.</t>
  </si>
  <si>
    <t>Internal Medicine/Family Medicine Combined Specialty Program.</t>
  </si>
  <si>
    <t>Internal Medicine/Medical Genetics and Genomics Combined Specialty Program.</t>
  </si>
  <si>
    <t>Internal Medicine/Neurology Combined Specialty Program.</t>
  </si>
  <si>
    <t>Internal Medicine/Pediatrics Combined Specialty Program.</t>
  </si>
  <si>
    <t>Internal Medicine/Preventive Medicine Combined Specialty Program.</t>
  </si>
  <si>
    <t>Internal Medicine/Psychiatry Combined Specialty Program.</t>
  </si>
  <si>
    <t>Medical Genetics and Genomics/Maternal-Fetal Medicine Combined Specialty Program.</t>
  </si>
  <si>
    <t>Pediatrics/Anesthesiology Combined Specialty Program.</t>
  </si>
  <si>
    <t>Pediatrics/Emergency Medicine Combined Specialty Program.</t>
  </si>
  <si>
    <t>Pediatrics/Medical Genetics and Genomics Combined Specialty Program.</t>
  </si>
  <si>
    <t>Pediatrics/Physical Medicine &amp; Rehabilitation Combined Specialty Program.</t>
  </si>
  <si>
    <t>Pediatrics/Psychology/Child-Adolescent Psychology Combined Specialty Program.</t>
  </si>
  <si>
    <t>Psychiatry/Neurology Combined Specialty Program.</t>
  </si>
  <si>
    <t>Reproductive Endocrinology and Infertility/Medical Genetics and Genomics Combined Specialty Program.</t>
  </si>
  <si>
    <t>Combined Medical Residency/Fellowship Programs, Other.</t>
  </si>
  <si>
    <t>Multiple-Pathway Medical Fellowship Programs.</t>
  </si>
  <si>
    <t>Health Policy Fellowship Program.</t>
  </si>
  <si>
    <t>Integrative Medicine Fellowship Program.</t>
  </si>
  <si>
    <t>Medical Education Fellowship Program.</t>
  </si>
  <si>
    <t>Simulation Fellowship Program.</t>
  </si>
  <si>
    <t>Telemedicine Fellowship Program.</t>
  </si>
  <si>
    <t>Wilderness Medicine Fellowship Program.</t>
  </si>
  <si>
    <t>Women's Health Fellowship Program.</t>
  </si>
  <si>
    <t>Multiple-Pathway Medical Fellowship Programs, Other.</t>
  </si>
  <si>
    <t>Allergy and Immunology Residency/Fellowship Programs.</t>
  </si>
  <si>
    <t>Allergy and Immunology Residency/Fellowship Programs, Other.</t>
  </si>
  <si>
    <t>Anesthesiology Residency/Fellowship Programs.</t>
  </si>
  <si>
    <t>Anesthesiology Residency/Fellowship Programs, Other.</t>
  </si>
  <si>
    <t>Dermatology Residency/Fellowship Programs.</t>
  </si>
  <si>
    <t>Dermatology Residency/Fellowship Programs, Other.</t>
  </si>
  <si>
    <t>Emergency Medicine Residency/Fellowship Programs.</t>
  </si>
  <si>
    <t>Disaster Medicine Fellowship Program.</t>
  </si>
  <si>
    <t>Emergency Medical Services Fellowship Program.</t>
  </si>
  <si>
    <t>Emergency Medicine Residency/Fellowship Programs, Other.</t>
  </si>
  <si>
    <t>Family Medicine Residency/Fellowship Programs.</t>
  </si>
  <si>
    <t>Family Medicine Residency/Fellowship Programs, Other.</t>
  </si>
  <si>
    <t>Internal Medicine Residency/Fellowship Programs.</t>
  </si>
  <si>
    <t>Hematology-Oncology Fellowship Program.</t>
  </si>
  <si>
    <t>Internal Medicine Residency/Fellowship Programs, Other.</t>
  </si>
  <si>
    <t>Medical Genetics and Genomics Residency/Fellowship Programs.</t>
  </si>
  <si>
    <t>Laboratory Genetics and Genomics Residency Program.</t>
  </si>
  <si>
    <t>Medical Genetics and Genomics Residency/Fellowship Programs, Other.</t>
  </si>
  <si>
    <t>Neurological Surgery Residency/Fellowship Programs.</t>
  </si>
  <si>
    <t>Neurological Surgery Residency/Fellowship Programs, Other.</t>
  </si>
  <si>
    <t>Neurology Residency/Fellowship Programs.</t>
  </si>
  <si>
    <t>Epilepsy Fellowship Program.</t>
  </si>
  <si>
    <t>Headache Medicine Fellowship Program.</t>
  </si>
  <si>
    <t>Neurology Residency/Fellowship Programs, Other.</t>
  </si>
  <si>
    <t>Nuclear Medicine Residency/Fellowship Programs.</t>
  </si>
  <si>
    <t>Nuclear Medicine Residency/Fellowship Programs, Other.</t>
  </si>
  <si>
    <t>Obstetrics and Gynecology Residency/Fellowship Programs.</t>
  </si>
  <si>
    <t>Obstetrics and Gynecology Residency/Fellowship Programs, Other.</t>
  </si>
  <si>
    <t>Ophthalmology Residency/Fellowship Programs.</t>
  </si>
  <si>
    <t>Ophthalmology Residency/Fellowship Programs, Other.</t>
  </si>
  <si>
    <t>Orthopedic Surgery Residency/Fellowship Programs.</t>
  </si>
  <si>
    <t>Orthopedic Surgery Residency/Fellowship Programs, Other.</t>
  </si>
  <si>
    <t>Osteopathic Medicine Residency/Fellowship Programs.</t>
  </si>
  <si>
    <t>Osteopathic Neuromusculoskeletal Medicine Residency Program.</t>
  </si>
  <si>
    <t>Osteopathic Medicine Residency/Fellowship Programs, Other.</t>
  </si>
  <si>
    <t>Otolaryngology Residency/Fellowship Programs.</t>
  </si>
  <si>
    <t>Otolaryngology Residency/Fellowship Programs, Other.</t>
  </si>
  <si>
    <t>Pathology Residency/Fellowship Programs.</t>
  </si>
  <si>
    <t>Anatomic Pathology Residency Program.</t>
  </si>
  <si>
    <t>Clinical Pathology Residency Program.</t>
  </si>
  <si>
    <t>Pathology Residency/Fellowship Programs, Other.</t>
  </si>
  <si>
    <t>Pediatrics Residency/Fellowship Programs.</t>
  </si>
  <si>
    <t>Pediatrics Residency/Fellowship Programs, Other.</t>
  </si>
  <si>
    <t>Physical Medicine and Rehabilitation Residency/Fellowship Programs.</t>
  </si>
  <si>
    <t>Physical Medicine and Rehabilitation Residency/Fellowship Programs, Other.</t>
  </si>
  <si>
    <t>Plastic Surgery Residency/Fellowship Programs.</t>
  </si>
  <si>
    <t>Integrated Plastic Surgery Residency Program.</t>
  </si>
  <si>
    <t>Plastic Surgery Residency/Fellowship Programs, Other.</t>
  </si>
  <si>
    <t>Podiatric Medicine and Surgery Residency Program.</t>
  </si>
  <si>
    <t>Podiatric Medicine Residency/Fellowship Programs, Other.</t>
  </si>
  <si>
    <t>Preventive Medicine Residency/Fellowship Programs.</t>
  </si>
  <si>
    <t>Preventive Medicine Residency/Fellowship Programs, Other.</t>
  </si>
  <si>
    <t>Psychiatry Residency/Fellowship Programs.</t>
  </si>
  <si>
    <t>Psychiatry Residency/Fellowship Programs, Other.</t>
  </si>
  <si>
    <t>Radiation Oncology Residency/Fellowship Programs.</t>
  </si>
  <si>
    <t>Radiation Oncology Residency/Fellowship Programs, Other.</t>
  </si>
  <si>
    <t>Radiology Residency/Fellowship Programs.</t>
  </si>
  <si>
    <t>Integrated Interventional Radiology Residency Program.</t>
  </si>
  <si>
    <t>Abdominal Radiology Fellowship Program.</t>
  </si>
  <si>
    <t>Musculoskeletal Radiology Fellowship Program.</t>
  </si>
  <si>
    <t>Radiology Residency/Fellowship Programs, Other.</t>
  </si>
  <si>
    <t>Surgery Residency/Fellowship Programs.</t>
  </si>
  <si>
    <t>Complex General Surgical Oncology Fellowship Program.</t>
  </si>
  <si>
    <t>Surgery Residency/Fellowship Programs, Other.</t>
  </si>
  <si>
    <t>Urology Residency/Fellowship Programs.</t>
  </si>
  <si>
    <t>Urology Residency/Fellowship Programs, Other.</t>
  </si>
  <si>
    <t>Medical Residency/Fellowship Programs, Other.</t>
  </si>
  <si>
    <t>01.0000</t>
  </si>
  <si>
    <t>01.0101</t>
  </si>
  <si>
    <t>01.0102</t>
  </si>
  <si>
    <t>01.0103</t>
  </si>
  <si>
    <t>01.0104</t>
  </si>
  <si>
    <t>01.0105</t>
  </si>
  <si>
    <t>01.0106</t>
  </si>
  <si>
    <t>01.0199</t>
  </si>
  <si>
    <t>01.0201</t>
  </si>
  <si>
    <t>01.0204</t>
  </si>
  <si>
    <t>01.0205</t>
  </si>
  <si>
    <t>01.0207</t>
  </si>
  <si>
    <t>01.0299</t>
  </si>
  <si>
    <t>01.0301</t>
  </si>
  <si>
    <t>01.0302</t>
  </si>
  <si>
    <t>01.0303</t>
  </si>
  <si>
    <t>01.0304</t>
  </si>
  <si>
    <t>01.0306</t>
  </si>
  <si>
    <t>01.0307</t>
  </si>
  <si>
    <t>01.0308</t>
  </si>
  <si>
    <t>01.0309</t>
  </si>
  <si>
    <t>01.0310</t>
  </si>
  <si>
    <t>01.0399</t>
  </si>
  <si>
    <t>01.0401</t>
  </si>
  <si>
    <t>01.0480</t>
  </si>
  <si>
    <t>01.0504</t>
  </si>
  <si>
    <t>01.0505</t>
  </si>
  <si>
    <t>01.0507</t>
  </si>
  <si>
    <t>01.0508</t>
  </si>
  <si>
    <t>01.0509</t>
  </si>
  <si>
    <t>01.0599</t>
  </si>
  <si>
    <t>01.0601</t>
  </si>
  <si>
    <t>01.0603</t>
  </si>
  <si>
    <t>01.0604</t>
  </si>
  <si>
    <t>01.0605</t>
  </si>
  <si>
    <t>01.0606</t>
  </si>
  <si>
    <t>01.0607</t>
  </si>
  <si>
    <t>01.0608</t>
  </si>
  <si>
    <t>01.0609</t>
  </si>
  <si>
    <t>01.0610</t>
  </si>
  <si>
    <t>01.0680</t>
  </si>
  <si>
    <t>01.0699</t>
  </si>
  <si>
    <t>01.0701</t>
  </si>
  <si>
    <t>01.0801</t>
  </si>
  <si>
    <t>01.0802</t>
  </si>
  <si>
    <t>01.0899</t>
  </si>
  <si>
    <t>01.0901</t>
  </si>
  <si>
    <t>01.0902</t>
  </si>
  <si>
    <t>01.0903</t>
  </si>
  <si>
    <t>01.0904</t>
  </si>
  <si>
    <t>01.0905</t>
  </si>
  <si>
    <t>01.0906</t>
  </si>
  <si>
    <t>01.0907</t>
  </si>
  <si>
    <t>01.0999</t>
  </si>
  <si>
    <t>01.1001</t>
  </si>
  <si>
    <t>01.1002</t>
  </si>
  <si>
    <t>01.1003</t>
  </si>
  <si>
    <t>01.1004</t>
  </si>
  <si>
    <t>01.1005</t>
  </si>
  <si>
    <t>01.1099</t>
  </si>
  <si>
    <t>01.1101</t>
  </si>
  <si>
    <t>01.1102</t>
  </si>
  <si>
    <t>01.1103</t>
  </si>
  <si>
    <t>01.1104</t>
  </si>
  <si>
    <t>01.1105</t>
  </si>
  <si>
    <t>01.1106</t>
  </si>
  <si>
    <t>01.1180</t>
  </si>
  <si>
    <t>01.1199</t>
  </si>
  <si>
    <t>01.1201</t>
  </si>
  <si>
    <t>01.1202</t>
  </si>
  <si>
    <t>01.1203</t>
  </si>
  <si>
    <t>01.1299</t>
  </si>
  <si>
    <t>01.1302</t>
  </si>
  <si>
    <t>01.1399</t>
  </si>
  <si>
    <t>01.8001</t>
  </si>
  <si>
    <t>01.8101</t>
  </si>
  <si>
    <t>01.8102</t>
  </si>
  <si>
    <t>01.8103</t>
  </si>
  <si>
    <t>01.8104</t>
  </si>
  <si>
    <t>01.8105</t>
  </si>
  <si>
    <t>01.8106</t>
  </si>
  <si>
    <t>01.8107</t>
  </si>
  <si>
    <t>01.8108</t>
  </si>
  <si>
    <t>01.8109</t>
  </si>
  <si>
    <t>01.8110</t>
  </si>
  <si>
    <t>01.8111</t>
  </si>
  <si>
    <t>01.8199</t>
  </si>
  <si>
    <t>01.8201</t>
  </si>
  <si>
    <t>01.8202</t>
  </si>
  <si>
    <t>01.8203</t>
  </si>
  <si>
    <t>01.8204</t>
  </si>
  <si>
    <t>01.8299</t>
  </si>
  <si>
    <t>01.8301</t>
  </si>
  <si>
    <t>01.8399</t>
  </si>
  <si>
    <t>01.9999</t>
  </si>
  <si>
    <t>03.0101</t>
  </si>
  <si>
    <t>03.0103</t>
  </si>
  <si>
    <t>03.0104</t>
  </si>
  <si>
    <t>03.0199</t>
  </si>
  <si>
    <t>03.0201</t>
  </si>
  <si>
    <t>03.0204</t>
  </si>
  <si>
    <t>03.0205</t>
  </si>
  <si>
    <t>03.0206</t>
  </si>
  <si>
    <t>03.0207</t>
  </si>
  <si>
    <t>03.0208</t>
  </si>
  <si>
    <t>03.0209</t>
  </si>
  <si>
    <t>03.0210</t>
  </si>
  <si>
    <t>03.0299</t>
  </si>
  <si>
    <t>03.0301</t>
  </si>
  <si>
    <t>03.0501</t>
  </si>
  <si>
    <t>03.0502</t>
  </si>
  <si>
    <t>03.0506</t>
  </si>
  <si>
    <t>03.0508</t>
  </si>
  <si>
    <t>03.0509</t>
  </si>
  <si>
    <t>03.0510</t>
  </si>
  <si>
    <t>03.0511</t>
  </si>
  <si>
    <t>03.0599</t>
  </si>
  <si>
    <t>03.0601</t>
  </si>
  <si>
    <t>03.9999</t>
  </si>
  <si>
    <t>04.0200</t>
  </si>
  <si>
    <t>04.0201</t>
  </si>
  <si>
    <t>04.0202</t>
  </si>
  <si>
    <t>04.0299</t>
  </si>
  <si>
    <t>04.0301</t>
  </si>
  <si>
    <t>04.0401</t>
  </si>
  <si>
    <t>04.0402</t>
  </si>
  <si>
    <t>04.0403</t>
  </si>
  <si>
    <t>04.0499</t>
  </si>
  <si>
    <t>04.0501</t>
  </si>
  <si>
    <t>04.0601</t>
  </si>
  <si>
    <t>04.0801</t>
  </si>
  <si>
    <t>04.0802</t>
  </si>
  <si>
    <t>04.0803</t>
  </si>
  <si>
    <t>04.0899</t>
  </si>
  <si>
    <t>04.0901</t>
  </si>
  <si>
    <t>04.0902</t>
  </si>
  <si>
    <t>04.0999</t>
  </si>
  <si>
    <t>04.1001</t>
  </si>
  <si>
    <t>04.9999</t>
  </si>
  <si>
    <t>05.0101</t>
  </si>
  <si>
    <t>05.0102</t>
  </si>
  <si>
    <t>05.0103</t>
  </si>
  <si>
    <t>05.0104</t>
  </si>
  <si>
    <t>05.0105</t>
  </si>
  <si>
    <t>05.0106</t>
  </si>
  <si>
    <t>05.0107</t>
  </si>
  <si>
    <t>05.0108</t>
  </si>
  <si>
    <t>05.0109</t>
  </si>
  <si>
    <t>05.0110</t>
  </si>
  <si>
    <t>05.0111</t>
  </si>
  <si>
    <t>05.0112</t>
  </si>
  <si>
    <t>05.0113</t>
  </si>
  <si>
    <t>05.0114</t>
  </si>
  <si>
    <t>05.0115</t>
  </si>
  <si>
    <t>05.0116</t>
  </si>
  <si>
    <t>05.0117</t>
  </si>
  <si>
    <t>05.0118</t>
  </si>
  <si>
    <t>05.0119</t>
  </si>
  <si>
    <t>05.0120</t>
  </si>
  <si>
    <t>05.0121</t>
  </si>
  <si>
    <t>05.0122</t>
  </si>
  <si>
    <t>05.0123</t>
  </si>
  <si>
    <t>05.0124</t>
  </si>
  <si>
    <t>05.0125</t>
  </si>
  <si>
    <t>05.0126</t>
  </si>
  <si>
    <t>05.0127</t>
  </si>
  <si>
    <t>05.0128</t>
  </si>
  <si>
    <t>05.0129</t>
  </si>
  <si>
    <t>05.0130</t>
  </si>
  <si>
    <t>05.0131</t>
  </si>
  <si>
    <t>05.0132</t>
  </si>
  <si>
    <t>05.0133</t>
  </si>
  <si>
    <t>05.0134</t>
  </si>
  <si>
    <t>05.0135</t>
  </si>
  <si>
    <t>05.0136</t>
  </si>
  <si>
    <t>05.0199</t>
  </si>
  <si>
    <t>05.0200</t>
  </si>
  <si>
    <t>05.0201</t>
  </si>
  <si>
    <t>05.0202</t>
  </si>
  <si>
    <t>05.0203</t>
  </si>
  <si>
    <t>05.0206</t>
  </si>
  <si>
    <t>05.0207</t>
  </si>
  <si>
    <t>05.0208</t>
  </si>
  <si>
    <t>05.0209</t>
  </si>
  <si>
    <t>05.0210</t>
  </si>
  <si>
    <t>05.0211</t>
  </si>
  <si>
    <t>05.0212</t>
  </si>
  <si>
    <t>05.0299</t>
  </si>
  <si>
    <t>05.9999</t>
  </si>
  <si>
    <t>09.0100</t>
  </si>
  <si>
    <t>09.0101</t>
  </si>
  <si>
    <t>09.0102</t>
  </si>
  <si>
    <t>09.0199</t>
  </si>
  <si>
    <t>09.0401</t>
  </si>
  <si>
    <t>09.0402</t>
  </si>
  <si>
    <t>09.0404</t>
  </si>
  <si>
    <t>09.0405</t>
  </si>
  <si>
    <t>09.0406</t>
  </si>
  <si>
    <t>09.0407</t>
  </si>
  <si>
    <t>09.0499</t>
  </si>
  <si>
    <t>09.0701</t>
  </si>
  <si>
    <t>09.0702</t>
  </si>
  <si>
    <t>09.0799</t>
  </si>
  <si>
    <t>09.0900</t>
  </si>
  <si>
    <t>09.0901</t>
  </si>
  <si>
    <t>09.0902</t>
  </si>
  <si>
    <t>09.0903</t>
  </si>
  <si>
    <t>09.0904</t>
  </si>
  <si>
    <t>09.0905</t>
  </si>
  <si>
    <t>09.0906</t>
  </si>
  <si>
    <t>09.0907</t>
  </si>
  <si>
    <t>09.0908</t>
  </si>
  <si>
    <t>09.0909</t>
  </si>
  <si>
    <t>09.0999</t>
  </si>
  <si>
    <t>09.1001</t>
  </si>
  <si>
    <t>09.9999</t>
  </si>
  <si>
    <t>10.0105</t>
  </si>
  <si>
    <t>10.0201</t>
  </si>
  <si>
    <t>10.0202</t>
  </si>
  <si>
    <t>10.0203</t>
  </si>
  <si>
    <t>10.0204</t>
  </si>
  <si>
    <t>10.0299</t>
  </si>
  <si>
    <t>10.0301</t>
  </si>
  <si>
    <t>10.0302</t>
  </si>
  <si>
    <t>10.0303</t>
  </si>
  <si>
    <t>10.0304</t>
  </si>
  <si>
    <t>10.0305</t>
  </si>
  <si>
    <t>10.0306</t>
  </si>
  <si>
    <t>10.0307</t>
  </si>
  <si>
    <t>10.0308</t>
  </si>
  <si>
    <t>10.0399</t>
  </si>
  <si>
    <t>10.9999</t>
  </si>
  <si>
    <t>11.0101</t>
  </si>
  <si>
    <t>11.0102</t>
  </si>
  <si>
    <t>11.0103</t>
  </si>
  <si>
    <t>11.0104</t>
  </si>
  <si>
    <t>11.0105</t>
  </si>
  <si>
    <t>11.0199</t>
  </si>
  <si>
    <t>11.0201</t>
  </si>
  <si>
    <t>11.0202</t>
  </si>
  <si>
    <t>11.0203</t>
  </si>
  <si>
    <t>11.0204</t>
  </si>
  <si>
    <t>11.0205</t>
  </si>
  <si>
    <t>11.0299</t>
  </si>
  <si>
    <t>11.0301</t>
  </si>
  <si>
    <t>11.0401</t>
  </si>
  <si>
    <t>11.0501</t>
  </si>
  <si>
    <t>11.0601</t>
  </si>
  <si>
    <t>11.0602</t>
  </si>
  <si>
    <t>11.0699</t>
  </si>
  <si>
    <t>11.0701</t>
  </si>
  <si>
    <t>11.0801</t>
  </si>
  <si>
    <t>11.0802</t>
  </si>
  <si>
    <t>11.0803</t>
  </si>
  <si>
    <t>11.0804</t>
  </si>
  <si>
    <t>11.0899</t>
  </si>
  <si>
    <t>11.0901</t>
  </si>
  <si>
    <t>11.0902</t>
  </si>
  <si>
    <t>11.0999</t>
  </si>
  <si>
    <t>11.1001</t>
  </si>
  <si>
    <t>11.1002</t>
  </si>
  <si>
    <t>11.1003</t>
  </si>
  <si>
    <t>11.1004</t>
  </si>
  <si>
    <t>11.1005</t>
  </si>
  <si>
    <t>11.1006</t>
  </si>
  <si>
    <t>11.1099</t>
  </si>
  <si>
    <t>11.9999</t>
  </si>
  <si>
    <t>12.0301</t>
  </si>
  <si>
    <t>12.0302</t>
  </si>
  <si>
    <t>12.0303</t>
  </si>
  <si>
    <t>12.0399</t>
  </si>
  <si>
    <t>12.0401</t>
  </si>
  <si>
    <t>12.0402</t>
  </si>
  <si>
    <t>12.0404</t>
  </si>
  <si>
    <t>12.0406</t>
  </si>
  <si>
    <t>12.0407</t>
  </si>
  <si>
    <t>12.0408</t>
  </si>
  <si>
    <t>12.0409</t>
  </si>
  <si>
    <t>12.0410</t>
  </si>
  <si>
    <t>12.0411</t>
  </si>
  <si>
    <t>12.0412</t>
  </si>
  <si>
    <t>12.0413</t>
  </si>
  <si>
    <t>12.0414</t>
  </si>
  <si>
    <t>12.0499</t>
  </si>
  <si>
    <t>12.0500</t>
  </si>
  <si>
    <t>12.0501</t>
  </si>
  <si>
    <t>12.0502</t>
  </si>
  <si>
    <t>12.0503</t>
  </si>
  <si>
    <t>12.0504</t>
  </si>
  <si>
    <t>12.0505</t>
  </si>
  <si>
    <t>12.0506</t>
  </si>
  <si>
    <t>12.0507</t>
  </si>
  <si>
    <t>12.0508</t>
  </si>
  <si>
    <t>12.0509</t>
  </si>
  <si>
    <t>12.0510</t>
  </si>
  <si>
    <t>12.0580</t>
  </si>
  <si>
    <t>12.0599</t>
  </si>
  <si>
    <t>12.0601</t>
  </si>
  <si>
    <t>12.0602</t>
  </si>
  <si>
    <t>12.0699</t>
  </si>
  <si>
    <t>12.9999</t>
  </si>
  <si>
    <t>13.0101</t>
  </si>
  <si>
    <t>13.0201</t>
  </si>
  <si>
    <t>13.0202</t>
  </si>
  <si>
    <t>13.0203</t>
  </si>
  <si>
    <t>13.0299</t>
  </si>
  <si>
    <t>13.0301</t>
  </si>
  <si>
    <t>13.0401</t>
  </si>
  <si>
    <t>13.0402</t>
  </si>
  <si>
    <t>13.0403</t>
  </si>
  <si>
    <t>13.0404</t>
  </si>
  <si>
    <t>13.0406</t>
  </si>
  <si>
    <t>13.0407</t>
  </si>
  <si>
    <t>13.0408</t>
  </si>
  <si>
    <t>13.0409</t>
  </si>
  <si>
    <t>13.0410</t>
  </si>
  <si>
    <t>13.0411</t>
  </si>
  <si>
    <t>13.0412</t>
  </si>
  <si>
    <t>13.0413</t>
  </si>
  <si>
    <t>13.0414</t>
  </si>
  <si>
    <t>13.0499</t>
  </si>
  <si>
    <t>13.0501</t>
  </si>
  <si>
    <t>13.0601</t>
  </si>
  <si>
    <t>13.0603</t>
  </si>
  <si>
    <t>13.0604</t>
  </si>
  <si>
    <t>13.0607</t>
  </si>
  <si>
    <t>13.0608</t>
  </si>
  <si>
    <t>13.0699</t>
  </si>
  <si>
    <t>13.0701</t>
  </si>
  <si>
    <t>13.0901</t>
  </si>
  <si>
    <t>13.1001</t>
  </si>
  <si>
    <t>13.1003</t>
  </si>
  <si>
    <t>13.1004</t>
  </si>
  <si>
    <t>13.1005</t>
  </si>
  <si>
    <t>13.1006</t>
  </si>
  <si>
    <t>13.1007</t>
  </si>
  <si>
    <t>13.1008</t>
  </si>
  <si>
    <t>13.1009</t>
  </si>
  <si>
    <t>13.1011</t>
  </si>
  <si>
    <t>13.1012</t>
  </si>
  <si>
    <t>13.1013</t>
  </si>
  <si>
    <t>13.1014</t>
  </si>
  <si>
    <t>13.1015</t>
  </si>
  <si>
    <t>13.1016</t>
  </si>
  <si>
    <t>13.1017</t>
  </si>
  <si>
    <t>13.1018</t>
  </si>
  <si>
    <t>13.1019</t>
  </si>
  <si>
    <t>13.1099</t>
  </si>
  <si>
    <t>13.1101</t>
  </si>
  <si>
    <t>13.1102</t>
  </si>
  <si>
    <t>13.1199</t>
  </si>
  <si>
    <t>13.1201</t>
  </si>
  <si>
    <t>13.1202</t>
  </si>
  <si>
    <t>13.1203</t>
  </si>
  <si>
    <t>13.1205</t>
  </si>
  <si>
    <t>13.1206</t>
  </si>
  <si>
    <t>13.1207</t>
  </si>
  <si>
    <t>13.1208</t>
  </si>
  <si>
    <t>13.1209</t>
  </si>
  <si>
    <t>13.1210</t>
  </si>
  <si>
    <t>13.1211</t>
  </si>
  <si>
    <t>13.1212</t>
  </si>
  <si>
    <t>13.1213</t>
  </si>
  <si>
    <t>13.1214</t>
  </si>
  <si>
    <t>13.1299</t>
  </si>
  <si>
    <t>13.1301</t>
  </si>
  <si>
    <t>13.1302</t>
  </si>
  <si>
    <t>13.1303</t>
  </si>
  <si>
    <t>13.1304</t>
  </si>
  <si>
    <t>13.1305</t>
  </si>
  <si>
    <t>13.1306</t>
  </si>
  <si>
    <t>13.1307</t>
  </si>
  <si>
    <t>13.1308</t>
  </si>
  <si>
    <t>13.1309</t>
  </si>
  <si>
    <t>13.1310</t>
  </si>
  <si>
    <t>13.1311</t>
  </si>
  <si>
    <t>13.1312</t>
  </si>
  <si>
    <t>13.1314</t>
  </si>
  <si>
    <t>13.1315</t>
  </si>
  <si>
    <t>13.1316</t>
  </si>
  <si>
    <t>13.1317</t>
  </si>
  <si>
    <t>13.1318</t>
  </si>
  <si>
    <t>13.1319</t>
  </si>
  <si>
    <t>13.1320</t>
  </si>
  <si>
    <t>13.1321</t>
  </si>
  <si>
    <t>13.1322</t>
  </si>
  <si>
    <t>13.1323</t>
  </si>
  <si>
    <t>13.1324</t>
  </si>
  <si>
    <t>13.1325</t>
  </si>
  <si>
    <t>13.1326</t>
  </si>
  <si>
    <t>13.1327</t>
  </si>
  <si>
    <t>13.1328</t>
  </si>
  <si>
    <t>13.1329</t>
  </si>
  <si>
    <t>13.1330</t>
  </si>
  <si>
    <t>13.1331</t>
  </si>
  <si>
    <t>13.1332</t>
  </si>
  <si>
    <t>13.1333</t>
  </si>
  <si>
    <t>13.1334</t>
  </si>
  <si>
    <t>13.1335</t>
  </si>
  <si>
    <t>13.1337</t>
  </si>
  <si>
    <t>13.1338</t>
  </si>
  <si>
    <t>13.1339</t>
  </si>
  <si>
    <t>13.1399</t>
  </si>
  <si>
    <t>13.1401</t>
  </si>
  <si>
    <t>13.1402</t>
  </si>
  <si>
    <t>13.1499</t>
  </si>
  <si>
    <t>13.1501</t>
  </si>
  <si>
    <t>13.1502</t>
  </si>
  <si>
    <t>13.1599</t>
  </si>
  <si>
    <t>13.9999</t>
  </si>
  <si>
    <t>14.0101</t>
  </si>
  <si>
    <t>14.0102</t>
  </si>
  <si>
    <t>14.0103</t>
  </si>
  <si>
    <t>14.0201</t>
  </si>
  <si>
    <t>14.0202</t>
  </si>
  <si>
    <t>14.0299</t>
  </si>
  <si>
    <t>14.0301</t>
  </si>
  <si>
    <t>14.0401</t>
  </si>
  <si>
    <t>14.0501</t>
  </si>
  <si>
    <t>14.0601</t>
  </si>
  <si>
    <t>14.0701</t>
  </si>
  <si>
    <t>14.0702</t>
  </si>
  <si>
    <t>14.0799</t>
  </si>
  <si>
    <t>14.0801</t>
  </si>
  <si>
    <t>14.0802</t>
  </si>
  <si>
    <t>14.0803</t>
  </si>
  <si>
    <t>14.0804</t>
  </si>
  <si>
    <t>14.0805</t>
  </si>
  <si>
    <t>14.0899</t>
  </si>
  <si>
    <t>14.0901</t>
  </si>
  <si>
    <t>14.0902</t>
  </si>
  <si>
    <t>14.0903</t>
  </si>
  <si>
    <t>14.0999</t>
  </si>
  <si>
    <t>14.1001</t>
  </si>
  <si>
    <t>14.1003</t>
  </si>
  <si>
    <t>14.1004</t>
  </si>
  <si>
    <t>14.1099</t>
  </si>
  <si>
    <t>14.1101</t>
  </si>
  <si>
    <t>14.1201</t>
  </si>
  <si>
    <t>14.1301</t>
  </si>
  <si>
    <t>14.1401</t>
  </si>
  <si>
    <t>14.1801</t>
  </si>
  <si>
    <t>14.1901</t>
  </si>
  <si>
    <t>14.2001</t>
  </si>
  <si>
    <t>14.2101</t>
  </si>
  <si>
    <t>14.2201</t>
  </si>
  <si>
    <t>14.2301</t>
  </si>
  <si>
    <t>14.2401</t>
  </si>
  <si>
    <t>14.2501</t>
  </si>
  <si>
    <t>14.2701</t>
  </si>
  <si>
    <t>14.2801</t>
  </si>
  <si>
    <t>14.3201</t>
  </si>
  <si>
    <t>14.3301</t>
  </si>
  <si>
    <t>14.3401</t>
  </si>
  <si>
    <t>14.3501</t>
  </si>
  <si>
    <t>14.3601</t>
  </si>
  <si>
    <t>14.3701</t>
  </si>
  <si>
    <t>14.3801</t>
  </si>
  <si>
    <t>14.3901</t>
  </si>
  <si>
    <t>14.4001</t>
  </si>
  <si>
    <t>14.4101</t>
  </si>
  <si>
    <t>14.4201</t>
  </si>
  <si>
    <t>14.4301</t>
  </si>
  <si>
    <t>14.4401</t>
  </si>
  <si>
    <t>14.4501</t>
  </si>
  <si>
    <t>14.4701</t>
  </si>
  <si>
    <t>14.4801</t>
  </si>
  <si>
    <t>14.4802</t>
  </si>
  <si>
    <t>14.4899</t>
  </si>
  <si>
    <t>14.9999</t>
  </si>
  <si>
    <t>15.0000</t>
  </si>
  <si>
    <t>15.0001</t>
  </si>
  <si>
    <t>15.0101</t>
  </si>
  <si>
    <t>15.0201</t>
  </si>
  <si>
    <t>15.0303</t>
  </si>
  <si>
    <t>15.0304</t>
  </si>
  <si>
    <t>15.0305</t>
  </si>
  <si>
    <t>15.0306</t>
  </si>
  <si>
    <t>15.0307</t>
  </si>
  <si>
    <t>15.0399</t>
  </si>
  <si>
    <t>15.0401</t>
  </si>
  <si>
    <t>15.0403</t>
  </si>
  <si>
    <t>15.0404</t>
  </si>
  <si>
    <t>15.0405</t>
  </si>
  <si>
    <t>15.0406</t>
  </si>
  <si>
    <t>15.0407</t>
  </si>
  <si>
    <t>15.0499</t>
  </si>
  <si>
    <t>15.0501</t>
  </si>
  <si>
    <t>15.0503</t>
  </si>
  <si>
    <t>15.0505</t>
  </si>
  <si>
    <t>15.0506</t>
  </si>
  <si>
    <t>15.0507</t>
  </si>
  <si>
    <t>15.0508</t>
  </si>
  <si>
    <t>15.0599</t>
  </si>
  <si>
    <t>15.0607</t>
  </si>
  <si>
    <t>15.0611</t>
  </si>
  <si>
    <t>15.0612</t>
  </si>
  <si>
    <t>15.0613</t>
  </si>
  <si>
    <t>15.0614</t>
  </si>
  <si>
    <t>15.0615</t>
  </si>
  <si>
    <t>15.0616</t>
  </si>
  <si>
    <t>15.0617</t>
  </si>
  <si>
    <t>15.0699</t>
  </si>
  <si>
    <t>15.0701</t>
  </si>
  <si>
    <t>15.0702</t>
  </si>
  <si>
    <t>15.0703</t>
  </si>
  <si>
    <t>15.0704</t>
  </si>
  <si>
    <t>15.0705</t>
  </si>
  <si>
    <t>15.0799</t>
  </si>
  <si>
    <t>15.0801</t>
  </si>
  <si>
    <t>15.0803</t>
  </si>
  <si>
    <t>15.0805</t>
  </si>
  <si>
    <t>15.0806</t>
  </si>
  <si>
    <t>15.0807</t>
  </si>
  <si>
    <t>15.0899</t>
  </si>
  <si>
    <t>15.0901</t>
  </si>
  <si>
    <t>15.0903</t>
  </si>
  <si>
    <t>15.0999</t>
  </si>
  <si>
    <t>15.1001</t>
  </si>
  <si>
    <t>15.1102</t>
  </si>
  <si>
    <t>15.1103</t>
  </si>
  <si>
    <t>15.1199</t>
  </si>
  <si>
    <t>15.1201</t>
  </si>
  <si>
    <t>15.1202</t>
  </si>
  <si>
    <t>15.1203</t>
  </si>
  <si>
    <t>15.1204</t>
  </si>
  <si>
    <t>15.1299</t>
  </si>
  <si>
    <t>15.1301</t>
  </si>
  <si>
    <t>15.1302</t>
  </si>
  <si>
    <t>15.1303</t>
  </si>
  <si>
    <t>15.1304</t>
  </si>
  <si>
    <t>15.1305</t>
  </si>
  <si>
    <t>15.1306</t>
  </si>
  <si>
    <t>15.1307</t>
  </si>
  <si>
    <t>15.1399</t>
  </si>
  <si>
    <t>15.1401</t>
  </si>
  <si>
    <t>15.1501</t>
  </si>
  <si>
    <t>15.1502</t>
  </si>
  <si>
    <t>15.1503</t>
  </si>
  <si>
    <t>15.1599</t>
  </si>
  <si>
    <t>15.1601</t>
  </si>
  <si>
    <t>15.1701</t>
  </si>
  <si>
    <t>15.1702</t>
  </si>
  <si>
    <t>15.1703</t>
  </si>
  <si>
    <t>15.1704</t>
  </si>
  <si>
    <t>15.1705</t>
  </si>
  <si>
    <t>15.1706</t>
  </si>
  <si>
    <t>15.1799</t>
  </si>
  <si>
    <t>15.9999</t>
  </si>
  <si>
    <t>16.0101</t>
  </si>
  <si>
    <t>16.0102</t>
  </si>
  <si>
    <t>16.0103</t>
  </si>
  <si>
    <t>16.0104</t>
  </si>
  <si>
    <t>16.0105</t>
  </si>
  <si>
    <t>16.0199</t>
  </si>
  <si>
    <t>16.0201</t>
  </si>
  <si>
    <t>16.0300</t>
  </si>
  <si>
    <t>16.0301</t>
  </si>
  <si>
    <t>16.0302</t>
  </si>
  <si>
    <t>16.0303</t>
  </si>
  <si>
    <t>16.0304</t>
  </si>
  <si>
    <t>16.0399</t>
  </si>
  <si>
    <t>16.0400</t>
  </si>
  <si>
    <t>16.0401</t>
  </si>
  <si>
    <t>16.0402</t>
  </si>
  <si>
    <t>16.0404</t>
  </si>
  <si>
    <t>16.0405</t>
  </si>
  <si>
    <t>16.0406</t>
  </si>
  <si>
    <t>16.0407</t>
  </si>
  <si>
    <t>16.0408</t>
  </si>
  <si>
    <t>16.0409</t>
  </si>
  <si>
    <t>16.0410</t>
  </si>
  <si>
    <t>16.0499</t>
  </si>
  <si>
    <t>16.0500</t>
  </si>
  <si>
    <t>16.0501</t>
  </si>
  <si>
    <t>16.0502</t>
  </si>
  <si>
    <t>16.0503</t>
  </si>
  <si>
    <t>16.0504</t>
  </si>
  <si>
    <t>16.0505</t>
  </si>
  <si>
    <t>16.0506</t>
  </si>
  <si>
    <t>16.0599</t>
  </si>
  <si>
    <t>16.0601</t>
  </si>
  <si>
    <t>16.0700</t>
  </si>
  <si>
    <t>16.0701</t>
  </si>
  <si>
    <t>16.0702</t>
  </si>
  <si>
    <t>16.0704</t>
  </si>
  <si>
    <t>16.0705</t>
  </si>
  <si>
    <t>16.0706</t>
  </si>
  <si>
    <t>16.0707</t>
  </si>
  <si>
    <t>16.0799</t>
  </si>
  <si>
    <t>16.0801</t>
  </si>
  <si>
    <t>16.0900</t>
  </si>
  <si>
    <t>16.0901</t>
  </si>
  <si>
    <t>16.0902</t>
  </si>
  <si>
    <t>16.0904</t>
  </si>
  <si>
    <t>16.0905</t>
  </si>
  <si>
    <t>16.0906</t>
  </si>
  <si>
    <t>16.0907</t>
  </si>
  <si>
    <t>16.0908</t>
  </si>
  <si>
    <t>16.0999</t>
  </si>
  <si>
    <t>16.1001</t>
  </si>
  <si>
    <t>16.1100</t>
  </si>
  <si>
    <t>16.1101</t>
  </si>
  <si>
    <t>16.1102</t>
  </si>
  <si>
    <t>16.1103</t>
  </si>
  <si>
    <t>16.1199</t>
  </si>
  <si>
    <t>16.1200</t>
  </si>
  <si>
    <t>16.1202</t>
  </si>
  <si>
    <t>16.1203</t>
  </si>
  <si>
    <t>16.1299</t>
  </si>
  <si>
    <t>16.1301</t>
  </si>
  <si>
    <t>16.1400</t>
  </si>
  <si>
    <t>16.1401</t>
  </si>
  <si>
    <t>16.1402</t>
  </si>
  <si>
    <t>16.1403</t>
  </si>
  <si>
    <t>16.1404</t>
  </si>
  <si>
    <t>16.1405</t>
  </si>
  <si>
    <t>16.1406</t>
  </si>
  <si>
    <t>16.1407</t>
  </si>
  <si>
    <t>16.1408</t>
  </si>
  <si>
    <t>16.1409</t>
  </si>
  <si>
    <t>16.1499</t>
  </si>
  <si>
    <t>16.1501</t>
  </si>
  <si>
    <t>16.1502</t>
  </si>
  <si>
    <t>16.1503</t>
  </si>
  <si>
    <t>16.1504</t>
  </si>
  <si>
    <t>16.1599</t>
  </si>
  <si>
    <t>16.1601</t>
  </si>
  <si>
    <t>16.1602</t>
  </si>
  <si>
    <t>16.1603</t>
  </si>
  <si>
    <t>16.1699</t>
  </si>
  <si>
    <t>16.1701</t>
  </si>
  <si>
    <t>16.1702</t>
  </si>
  <si>
    <t>16.1799</t>
  </si>
  <si>
    <t>16.1801</t>
  </si>
  <si>
    <t>16.9999</t>
  </si>
  <si>
    <t>19.0000</t>
  </si>
  <si>
    <t>19.0101</t>
  </si>
  <si>
    <t>19.0201</t>
  </si>
  <si>
    <t>19.0202</t>
  </si>
  <si>
    <t>19.0203</t>
  </si>
  <si>
    <t>19.0299</t>
  </si>
  <si>
    <t>19.0401</t>
  </si>
  <si>
    <t>19.0402</t>
  </si>
  <si>
    <t>19.0403</t>
  </si>
  <si>
    <t>19.0499</t>
  </si>
  <si>
    <t>19.0501</t>
  </si>
  <si>
    <t>19.0504</t>
  </si>
  <si>
    <t>19.0505</t>
  </si>
  <si>
    <t>19.0599</t>
  </si>
  <si>
    <t>19.0601</t>
  </si>
  <si>
    <t>19.0604</t>
  </si>
  <si>
    <t>19.0605</t>
  </si>
  <si>
    <t>19.0699</t>
  </si>
  <si>
    <t>19.0701</t>
  </si>
  <si>
    <t>19.0702</t>
  </si>
  <si>
    <t>19.0704</t>
  </si>
  <si>
    <t>19.0706</t>
  </si>
  <si>
    <t>19.0707</t>
  </si>
  <si>
    <t>19.0708</t>
  </si>
  <si>
    <t>19.0709</t>
  </si>
  <si>
    <t>19.0710</t>
  </si>
  <si>
    <t>19.0711</t>
  </si>
  <si>
    <t>19.0712</t>
  </si>
  <si>
    <t>19.0799</t>
  </si>
  <si>
    <t>19.0901</t>
  </si>
  <si>
    <t>19.0902</t>
  </si>
  <si>
    <t>19.0904</t>
  </si>
  <si>
    <t>19.0905</t>
  </si>
  <si>
    <t>19.0906</t>
  </si>
  <si>
    <t>19.0999</t>
  </si>
  <si>
    <t>19.1001</t>
  </si>
  <si>
    <t>19.9999</t>
  </si>
  <si>
    <t>21.0101</t>
  </si>
  <si>
    <t>22.0000</t>
  </si>
  <si>
    <t>22.0001</t>
  </si>
  <si>
    <t>22.0099</t>
  </si>
  <si>
    <t>22.0101</t>
  </si>
  <si>
    <t>22.0201</t>
  </si>
  <si>
    <t>22.0202</t>
  </si>
  <si>
    <t>22.0203</t>
  </si>
  <si>
    <t>22.0204</t>
  </si>
  <si>
    <t>22.0205</t>
  </si>
  <si>
    <t>22.0206</t>
  </si>
  <si>
    <t>22.0207</t>
  </si>
  <si>
    <t>22.0208</t>
  </si>
  <si>
    <t>22.0209</t>
  </si>
  <si>
    <t>22.0210</t>
  </si>
  <si>
    <t>22.0211</t>
  </si>
  <si>
    <t>22.0212</t>
  </si>
  <si>
    <t>22.0213</t>
  </si>
  <si>
    <t>22.0214</t>
  </si>
  <si>
    <t>22.0215</t>
  </si>
  <si>
    <t>22.0216</t>
  </si>
  <si>
    <t>22.0217</t>
  </si>
  <si>
    <t>22.0218</t>
  </si>
  <si>
    <t>22.0219</t>
  </si>
  <si>
    <t>22.0220</t>
  </si>
  <si>
    <t>22.0221</t>
  </si>
  <si>
    <t>22.0222</t>
  </si>
  <si>
    <t>22.0223</t>
  </si>
  <si>
    <t>22.0224</t>
  </si>
  <si>
    <t>22.0299</t>
  </si>
  <si>
    <t>22.0301</t>
  </si>
  <si>
    <t>22.0302</t>
  </si>
  <si>
    <t>22.0303</t>
  </si>
  <si>
    <t>22.0304</t>
  </si>
  <si>
    <t>22.0305</t>
  </si>
  <si>
    <t>22.0399</t>
  </si>
  <si>
    <t>22.9999</t>
  </si>
  <si>
    <t>23.0101</t>
  </si>
  <si>
    <t>23.1301</t>
  </si>
  <si>
    <t>23.1302</t>
  </si>
  <si>
    <t>23.1303</t>
  </si>
  <si>
    <t>23.1304</t>
  </si>
  <si>
    <t>23.1399</t>
  </si>
  <si>
    <t>23.1401</t>
  </si>
  <si>
    <t>23.1402</t>
  </si>
  <si>
    <t>23.1403</t>
  </si>
  <si>
    <t>23.1404</t>
  </si>
  <si>
    <t>23.1405</t>
  </si>
  <si>
    <t>23.1499</t>
  </si>
  <si>
    <t>23.9999</t>
  </si>
  <si>
    <t>24.0101</t>
  </si>
  <si>
    <t>24.0102</t>
  </si>
  <si>
    <t>24.0103</t>
  </si>
  <si>
    <t>24.0199</t>
  </si>
  <si>
    <t>25.0101</t>
  </si>
  <si>
    <t>25.0102</t>
  </si>
  <si>
    <t>25.0103</t>
  </si>
  <si>
    <t>25.0199</t>
  </si>
  <si>
    <t>25.0301</t>
  </si>
  <si>
    <t>25.9999</t>
  </si>
  <si>
    <t>26.0101</t>
  </si>
  <si>
    <t>26.0102</t>
  </si>
  <si>
    <t>26.0202</t>
  </si>
  <si>
    <t>26.0203</t>
  </si>
  <si>
    <t>26.0204</t>
  </si>
  <si>
    <t>26.0205</t>
  </si>
  <si>
    <t>26.0206</t>
  </si>
  <si>
    <t>26.0207</t>
  </si>
  <si>
    <t>26.0208</t>
  </si>
  <si>
    <t>26.0209</t>
  </si>
  <si>
    <t>26.0210</t>
  </si>
  <si>
    <t>26.0299</t>
  </si>
  <si>
    <t>26.0301</t>
  </si>
  <si>
    <t>26.0305</t>
  </si>
  <si>
    <t>26.0307</t>
  </si>
  <si>
    <t>26.0308</t>
  </si>
  <si>
    <t>26.0399</t>
  </si>
  <si>
    <t>26.0401</t>
  </si>
  <si>
    <t>26.0403</t>
  </si>
  <si>
    <t>26.0404</t>
  </si>
  <si>
    <t>26.0406</t>
  </si>
  <si>
    <t>26.0407</t>
  </si>
  <si>
    <t>26.0499</t>
  </si>
  <si>
    <t>26.0502</t>
  </si>
  <si>
    <t>26.0503</t>
  </si>
  <si>
    <t>26.0504</t>
  </si>
  <si>
    <t>26.0505</t>
  </si>
  <si>
    <t>26.0506</t>
  </si>
  <si>
    <t>26.0507</t>
  </si>
  <si>
    <t>26.0508</t>
  </si>
  <si>
    <t>26.0509</t>
  </si>
  <si>
    <t>26.0599</t>
  </si>
  <si>
    <t>26.0701</t>
  </si>
  <si>
    <t>26.0702</t>
  </si>
  <si>
    <t>26.0707</t>
  </si>
  <si>
    <t>26.0708</t>
  </si>
  <si>
    <t>26.0709</t>
  </si>
  <si>
    <t>26.0799</t>
  </si>
  <si>
    <t>26.0801</t>
  </si>
  <si>
    <t>26.0802</t>
  </si>
  <si>
    <t>26.0803</t>
  </si>
  <si>
    <t>26.0804</t>
  </si>
  <si>
    <t>26.0805</t>
  </si>
  <si>
    <t>26.0806</t>
  </si>
  <si>
    <t>26.0807</t>
  </si>
  <si>
    <t>26.0899</t>
  </si>
  <si>
    <t>26.0901</t>
  </si>
  <si>
    <t>26.0902</t>
  </si>
  <si>
    <t>26.0903</t>
  </si>
  <si>
    <t>26.0904</t>
  </si>
  <si>
    <t>26.0905</t>
  </si>
  <si>
    <t>26.0907</t>
  </si>
  <si>
    <t>26.0908</t>
  </si>
  <si>
    <t>26.0909</t>
  </si>
  <si>
    <t>26.0910</t>
  </si>
  <si>
    <t>26.0911</t>
  </si>
  <si>
    <t>26.0912</t>
  </si>
  <si>
    <t>26.0913</t>
  </si>
  <si>
    <t>26.0999</t>
  </si>
  <si>
    <t>26.1001</t>
  </si>
  <si>
    <t>26.1002</t>
  </si>
  <si>
    <t>26.1003</t>
  </si>
  <si>
    <t>26.1004</t>
  </si>
  <si>
    <t>26.1005</t>
  </si>
  <si>
    <t>26.1006</t>
  </si>
  <si>
    <t>26.1007</t>
  </si>
  <si>
    <t>26.1099</t>
  </si>
  <si>
    <t>26.1101</t>
  </si>
  <si>
    <t>26.1102</t>
  </si>
  <si>
    <t>26.1103</t>
  </si>
  <si>
    <t>26.1104</t>
  </si>
  <si>
    <t>26.1199</t>
  </si>
  <si>
    <t>26.1201</t>
  </si>
  <si>
    <t>26.1301</t>
  </si>
  <si>
    <t>26.1302</t>
  </si>
  <si>
    <t>26.1303</t>
  </si>
  <si>
    <t>26.1304</t>
  </si>
  <si>
    <t>26.1305</t>
  </si>
  <si>
    <t>26.1306</t>
  </si>
  <si>
    <t>26.1307</t>
  </si>
  <si>
    <t>26.1308</t>
  </si>
  <si>
    <t>26.1309</t>
  </si>
  <si>
    <t>26.1310</t>
  </si>
  <si>
    <t>26.1311</t>
  </si>
  <si>
    <t>26.1399</t>
  </si>
  <si>
    <t>26.1401</t>
  </si>
  <si>
    <t>26.1501</t>
  </si>
  <si>
    <t>26.1502</t>
  </si>
  <si>
    <t>26.1503</t>
  </si>
  <si>
    <t>26.1504</t>
  </si>
  <si>
    <t>26.1599</t>
  </si>
  <si>
    <t>26.9999</t>
  </si>
  <si>
    <t>27.0101</t>
  </si>
  <si>
    <t>27.0102</t>
  </si>
  <si>
    <t>27.0103</t>
  </si>
  <si>
    <t>27.0104</t>
  </si>
  <si>
    <t>27.0105</t>
  </si>
  <si>
    <t>27.0199</t>
  </si>
  <si>
    <t>27.0301</t>
  </si>
  <si>
    <t>27.0303</t>
  </si>
  <si>
    <t>27.0304</t>
  </si>
  <si>
    <t>27.0305</t>
  </si>
  <si>
    <t>27.0306</t>
  </si>
  <si>
    <t>27.0399</t>
  </si>
  <si>
    <t>27.0501</t>
  </si>
  <si>
    <t>27.0502</t>
  </si>
  <si>
    <t>27.0503</t>
  </si>
  <si>
    <t>27.0599</t>
  </si>
  <si>
    <t>27.0601</t>
  </si>
  <si>
    <t>27.9999</t>
  </si>
  <si>
    <t>28.0101</t>
  </si>
  <si>
    <t>28.0199</t>
  </si>
  <si>
    <t>28.0301</t>
  </si>
  <si>
    <t>28.0399</t>
  </si>
  <si>
    <t>28.0401</t>
  </si>
  <si>
    <t>28.0499</t>
  </si>
  <si>
    <t>28.0501</t>
  </si>
  <si>
    <t>28.0502</t>
  </si>
  <si>
    <t>28.0503</t>
  </si>
  <si>
    <t>28.0504</t>
  </si>
  <si>
    <t>28.0505</t>
  </si>
  <si>
    <t>28.0506</t>
  </si>
  <si>
    <t>28.0599</t>
  </si>
  <si>
    <t>28.0601</t>
  </si>
  <si>
    <t>28.0602</t>
  </si>
  <si>
    <t>28.0603</t>
  </si>
  <si>
    <t>28.0604</t>
  </si>
  <si>
    <t>28.0605</t>
  </si>
  <si>
    <t>28.0699</t>
  </si>
  <si>
    <t>28.0701</t>
  </si>
  <si>
    <t>28.0702</t>
  </si>
  <si>
    <t>28.0703</t>
  </si>
  <si>
    <t>28.0799</t>
  </si>
  <si>
    <t>28.0801</t>
  </si>
  <si>
    <t>28.9999</t>
  </si>
  <si>
    <t>29.0201</t>
  </si>
  <si>
    <t>29.0202</t>
  </si>
  <si>
    <t>29.0203</t>
  </si>
  <si>
    <t>29.0204</t>
  </si>
  <si>
    <t>29.0205</t>
  </si>
  <si>
    <t>29.0206</t>
  </si>
  <si>
    <t>29.0207</t>
  </si>
  <si>
    <t>29.0299</t>
  </si>
  <si>
    <t>29.0301</t>
  </si>
  <si>
    <t>29.0302</t>
  </si>
  <si>
    <t>29.0303</t>
  </si>
  <si>
    <t>29.0304</t>
  </si>
  <si>
    <t>29.0305</t>
  </si>
  <si>
    <t>29.0306</t>
  </si>
  <si>
    <t>29.0307</t>
  </si>
  <si>
    <t>29.0399</t>
  </si>
  <si>
    <t>29.0401</t>
  </si>
  <si>
    <t>29.0402</t>
  </si>
  <si>
    <t>29.0403</t>
  </si>
  <si>
    <t>29.0404</t>
  </si>
  <si>
    <t>29.0405</t>
  </si>
  <si>
    <t>29.0406</t>
  </si>
  <si>
    <t>29.0407</t>
  </si>
  <si>
    <t>29.0408</t>
  </si>
  <si>
    <t>29.0409</t>
  </si>
  <si>
    <t>29.0499</t>
  </si>
  <si>
    <t>29.0501</t>
  </si>
  <si>
    <t>29.0601</t>
  </si>
  <si>
    <t>29.9999</t>
  </si>
  <si>
    <t>30.0000</t>
  </si>
  <si>
    <t>30.0001</t>
  </si>
  <si>
    <t>30.0101</t>
  </si>
  <si>
    <t>30.0501</t>
  </si>
  <si>
    <t>30.0601</t>
  </si>
  <si>
    <t>30.0801</t>
  </si>
  <si>
    <t>30.1001</t>
  </si>
  <si>
    <t>30.1101</t>
  </si>
  <si>
    <t>30.1201</t>
  </si>
  <si>
    <t>30.1202</t>
  </si>
  <si>
    <t>30.1299</t>
  </si>
  <si>
    <t>30.1301</t>
  </si>
  <si>
    <t>30.1401</t>
  </si>
  <si>
    <t>30.1501</t>
  </si>
  <si>
    <t>30.1601</t>
  </si>
  <si>
    <t>30.1701</t>
  </si>
  <si>
    <t>30.1801</t>
  </si>
  <si>
    <t>30.1901</t>
  </si>
  <si>
    <t>30.2001</t>
  </si>
  <si>
    <t>30.2101</t>
  </si>
  <si>
    <t>30.2201</t>
  </si>
  <si>
    <t>30.2202</t>
  </si>
  <si>
    <t>30.2299</t>
  </si>
  <si>
    <t>30.2301</t>
  </si>
  <si>
    <t>30.2501</t>
  </si>
  <si>
    <t>30.2502</t>
  </si>
  <si>
    <t>30.2599</t>
  </si>
  <si>
    <t>30.2601</t>
  </si>
  <si>
    <t>30.2701</t>
  </si>
  <si>
    <t>30.2801</t>
  </si>
  <si>
    <t>30.2901</t>
  </si>
  <si>
    <t>30.3001</t>
  </si>
  <si>
    <t>30.3101</t>
  </si>
  <si>
    <t>30.3201</t>
  </si>
  <si>
    <t>30.3301</t>
  </si>
  <si>
    <t>30.3401</t>
  </si>
  <si>
    <t>30.3501</t>
  </si>
  <si>
    <t>30.3601</t>
  </si>
  <si>
    <t>30.3701</t>
  </si>
  <si>
    <t>30.3801</t>
  </si>
  <si>
    <t>30.3901</t>
  </si>
  <si>
    <t>30.4001</t>
  </si>
  <si>
    <t>30.4101</t>
  </si>
  <si>
    <t>30.4201</t>
  </si>
  <si>
    <t>30.4301</t>
  </si>
  <si>
    <t>30.4401</t>
  </si>
  <si>
    <t>30.4501</t>
  </si>
  <si>
    <t>30.4601</t>
  </si>
  <si>
    <t>30.4701</t>
  </si>
  <si>
    <t>30.4801</t>
  </si>
  <si>
    <t>30.4901</t>
  </si>
  <si>
    <t>30.5001</t>
  </si>
  <si>
    <t>30.5101</t>
  </si>
  <si>
    <t>30.5201</t>
  </si>
  <si>
    <t>30.5202</t>
  </si>
  <si>
    <t>30.5203</t>
  </si>
  <si>
    <t>30.5299</t>
  </si>
  <si>
    <t>30.5301</t>
  </si>
  <si>
    <t>30.7001</t>
  </si>
  <si>
    <t>30.7099</t>
  </si>
  <si>
    <t>30.7101</t>
  </si>
  <si>
    <t>30.7102</t>
  </si>
  <si>
    <t>30.7103</t>
  </si>
  <si>
    <t>30.7104</t>
  </si>
  <si>
    <t>30.7199</t>
  </si>
  <si>
    <t>30.9999</t>
  </si>
  <si>
    <t>31.0101</t>
  </si>
  <si>
    <t>31.0301</t>
  </si>
  <si>
    <t>31.0302</t>
  </si>
  <si>
    <t>31.0399</t>
  </si>
  <si>
    <t>31.0501</t>
  </si>
  <si>
    <t>31.0504</t>
  </si>
  <si>
    <t>31.0505</t>
  </si>
  <si>
    <t>31.0507</t>
  </si>
  <si>
    <t>31.0508</t>
  </si>
  <si>
    <t>31.0599</t>
  </si>
  <si>
    <t>31.0601</t>
  </si>
  <si>
    <t>31.9999</t>
  </si>
  <si>
    <t>32.0101</t>
  </si>
  <si>
    <t>32.0104</t>
  </si>
  <si>
    <t>32.0105</t>
  </si>
  <si>
    <t>32.0107</t>
  </si>
  <si>
    <t>32.0108</t>
  </si>
  <si>
    <t>32.0109</t>
  </si>
  <si>
    <t>32.0110</t>
  </si>
  <si>
    <t>32.0111</t>
  </si>
  <si>
    <t>32.0112</t>
  </si>
  <si>
    <t>32.0199</t>
  </si>
  <si>
    <t>32.0201</t>
  </si>
  <si>
    <t>32.0202</t>
  </si>
  <si>
    <t>32.0203</t>
  </si>
  <si>
    <t>32.0204</t>
  </si>
  <si>
    <t>32.0205</t>
  </si>
  <si>
    <t>32.0299</t>
  </si>
  <si>
    <t>33.0101</t>
  </si>
  <si>
    <t>33.0102</t>
  </si>
  <si>
    <t>33.0103</t>
  </si>
  <si>
    <t>33.0104</t>
  </si>
  <si>
    <t>33.0105</t>
  </si>
  <si>
    <t>33.0106</t>
  </si>
  <si>
    <t>33.0199</t>
  </si>
  <si>
    <t>34.0102</t>
  </si>
  <si>
    <t>34.0103</t>
  </si>
  <si>
    <t>34.0104</t>
  </si>
  <si>
    <t>34.0105</t>
  </si>
  <si>
    <t>34.0199</t>
  </si>
  <si>
    <t>35.0101</t>
  </si>
  <si>
    <t>35.0102</t>
  </si>
  <si>
    <t>35.0103</t>
  </si>
  <si>
    <t>35.0105</t>
  </si>
  <si>
    <t>35.0199</t>
  </si>
  <si>
    <t>36.0101</t>
  </si>
  <si>
    <t>36.0102</t>
  </si>
  <si>
    <t>36.0103</t>
  </si>
  <si>
    <t>36.0105</t>
  </si>
  <si>
    <t>36.0106</t>
  </si>
  <si>
    <t>36.0107</t>
  </si>
  <si>
    <t>36.0108</t>
  </si>
  <si>
    <t>36.0109</t>
  </si>
  <si>
    <t>36.0110</t>
  </si>
  <si>
    <t>36.0111</t>
  </si>
  <si>
    <t>36.0112</t>
  </si>
  <si>
    <t>36.0113</t>
  </si>
  <si>
    <t>36.0114</t>
  </si>
  <si>
    <t>36.0115</t>
  </si>
  <si>
    <t>36.0116</t>
  </si>
  <si>
    <t>36.0117</t>
  </si>
  <si>
    <t>36.0118</t>
  </si>
  <si>
    <t>36.0119</t>
  </si>
  <si>
    <t>36.0120</t>
  </si>
  <si>
    <t>36.0121</t>
  </si>
  <si>
    <t>36.0122</t>
  </si>
  <si>
    <t>36.0123</t>
  </si>
  <si>
    <t>36.0199</t>
  </si>
  <si>
    <t>36.0202</t>
  </si>
  <si>
    <t>36.0203</t>
  </si>
  <si>
    <t>36.0204</t>
  </si>
  <si>
    <t>36.0205</t>
  </si>
  <si>
    <t>36.0206</t>
  </si>
  <si>
    <t>36.0207</t>
  </si>
  <si>
    <t>36.0299</t>
  </si>
  <si>
    <t>37.0101</t>
  </si>
  <si>
    <t>37.0102</t>
  </si>
  <si>
    <t>37.0103</t>
  </si>
  <si>
    <t>37.0104</t>
  </si>
  <si>
    <t>37.0106</t>
  </si>
  <si>
    <t>37.0107</t>
  </si>
  <si>
    <t>37.0199</t>
  </si>
  <si>
    <t>38.0001</t>
  </si>
  <si>
    <t>38.0101</t>
  </si>
  <si>
    <t>38.0102</t>
  </si>
  <si>
    <t>38.0103</t>
  </si>
  <si>
    <t>38.0104</t>
  </si>
  <si>
    <t>38.0199</t>
  </si>
  <si>
    <t>38.0201</t>
  </si>
  <si>
    <t>38.0202</t>
  </si>
  <si>
    <t>38.0203</t>
  </si>
  <si>
    <t>38.0204</t>
  </si>
  <si>
    <t>38.0205</t>
  </si>
  <si>
    <t>38.0206</t>
  </si>
  <si>
    <t>38.0207</t>
  </si>
  <si>
    <t>38.0208</t>
  </si>
  <si>
    <t>38.0209</t>
  </si>
  <si>
    <t>38.0299</t>
  </si>
  <si>
    <t>38.9999</t>
  </si>
  <si>
    <t>39.0201</t>
  </si>
  <si>
    <t>39.0301</t>
  </si>
  <si>
    <t>39.0302</t>
  </si>
  <si>
    <t>39.0399</t>
  </si>
  <si>
    <t>39.0401</t>
  </si>
  <si>
    <t>39.0501</t>
  </si>
  <si>
    <t>39.0502</t>
  </si>
  <si>
    <t>39.0599</t>
  </si>
  <si>
    <t>39.0601</t>
  </si>
  <si>
    <t>39.0602</t>
  </si>
  <si>
    <t>39.0604</t>
  </si>
  <si>
    <t>39.0605</t>
  </si>
  <si>
    <t>39.0606</t>
  </si>
  <si>
    <t>39.0699</t>
  </si>
  <si>
    <t>39.0701</t>
  </si>
  <si>
    <t>39.0702</t>
  </si>
  <si>
    <t>39.0703</t>
  </si>
  <si>
    <t>39.0704</t>
  </si>
  <si>
    <t>39.0705</t>
  </si>
  <si>
    <t>39.0706</t>
  </si>
  <si>
    <t>39.0799</t>
  </si>
  <si>
    <t>39.0801</t>
  </si>
  <si>
    <t>39.0802</t>
  </si>
  <si>
    <t>39.0899</t>
  </si>
  <si>
    <t>39.9999</t>
  </si>
  <si>
    <t>40.0101</t>
  </si>
  <si>
    <t>40.0201</t>
  </si>
  <si>
    <t>40.0202</t>
  </si>
  <si>
    <t>40.0203</t>
  </si>
  <si>
    <t>40.0299</t>
  </si>
  <si>
    <t>40.0401</t>
  </si>
  <si>
    <t>40.0402</t>
  </si>
  <si>
    <t>40.0403</t>
  </si>
  <si>
    <t>40.0404</t>
  </si>
  <si>
    <t>40.0499</t>
  </si>
  <si>
    <t>40.0501</t>
  </si>
  <si>
    <t>40.0502</t>
  </si>
  <si>
    <t>40.0503</t>
  </si>
  <si>
    <t>40.0504</t>
  </si>
  <si>
    <t>40.0506</t>
  </si>
  <si>
    <t>40.0507</t>
  </si>
  <si>
    <t>40.0508</t>
  </si>
  <si>
    <t>40.0509</t>
  </si>
  <si>
    <t>40.0510</t>
  </si>
  <si>
    <t>40.0511</t>
  </si>
  <si>
    <t>40.0512</t>
  </si>
  <si>
    <t>40.0599</t>
  </si>
  <si>
    <t>40.0601</t>
  </si>
  <si>
    <t>40.0602</t>
  </si>
  <si>
    <t>40.0603</t>
  </si>
  <si>
    <t>40.0604</t>
  </si>
  <si>
    <t>40.0605</t>
  </si>
  <si>
    <t>40.0606</t>
  </si>
  <si>
    <t>40.0607</t>
  </si>
  <si>
    <t>40.0699</t>
  </si>
  <si>
    <t>40.0801</t>
  </si>
  <si>
    <t>40.0802</t>
  </si>
  <si>
    <t>40.0804</t>
  </si>
  <si>
    <t>40.0805</t>
  </si>
  <si>
    <t>40.0806</t>
  </si>
  <si>
    <t>40.0807</t>
  </si>
  <si>
    <t>40.0808</t>
  </si>
  <si>
    <t>40.0809</t>
  </si>
  <si>
    <t>40.0810</t>
  </si>
  <si>
    <t>40.0899</t>
  </si>
  <si>
    <t>40.1001</t>
  </si>
  <si>
    <t>40.1002</t>
  </si>
  <si>
    <t>40.1099</t>
  </si>
  <si>
    <t>40.1101</t>
  </si>
  <si>
    <t>40.9999</t>
  </si>
  <si>
    <t>41.0000</t>
  </si>
  <si>
    <t>41.0101</t>
  </si>
  <si>
    <t>41.0204</t>
  </si>
  <si>
    <t>41.0205</t>
  </si>
  <si>
    <t>41.0299</t>
  </si>
  <si>
    <t>41.0301</t>
  </si>
  <si>
    <t>41.0303</t>
  </si>
  <si>
    <t>41.0399</t>
  </si>
  <si>
    <t>41.9999</t>
  </si>
  <si>
    <t>42.0101</t>
  </si>
  <si>
    <t>42.2701</t>
  </si>
  <si>
    <t>42.2702</t>
  </si>
  <si>
    <t>42.2703</t>
  </si>
  <si>
    <t>42.2704</t>
  </si>
  <si>
    <t>42.2705</t>
  </si>
  <si>
    <t>42.2706</t>
  </si>
  <si>
    <t>42.2707</t>
  </si>
  <si>
    <t>42.2708</t>
  </si>
  <si>
    <t>42.2709</t>
  </si>
  <si>
    <t>42.2710</t>
  </si>
  <si>
    <t>42.2799</t>
  </si>
  <si>
    <t>42.2801</t>
  </si>
  <si>
    <t>42.2802</t>
  </si>
  <si>
    <t>42.2803</t>
  </si>
  <si>
    <t>42.2804</t>
  </si>
  <si>
    <t>42.2805</t>
  </si>
  <si>
    <t>42.2806</t>
  </si>
  <si>
    <t>42.2807</t>
  </si>
  <si>
    <t>42.2808</t>
  </si>
  <si>
    <t>42.2809</t>
  </si>
  <si>
    <t>42.2810</t>
  </si>
  <si>
    <t>42.2811</t>
  </si>
  <si>
    <t>42.2812</t>
  </si>
  <si>
    <t>42.2813</t>
  </si>
  <si>
    <t>42.2814</t>
  </si>
  <si>
    <t>42.2815</t>
  </si>
  <si>
    <t>42.2816</t>
  </si>
  <si>
    <t>42.2817</t>
  </si>
  <si>
    <t>42.2899</t>
  </si>
  <si>
    <t>42.9999</t>
  </si>
  <si>
    <t>43.0100</t>
  </si>
  <si>
    <t>43.0102</t>
  </si>
  <si>
    <t>43.0103</t>
  </si>
  <si>
    <t>43.0104</t>
  </si>
  <si>
    <t>43.0106</t>
  </si>
  <si>
    <t>43.0107</t>
  </si>
  <si>
    <t>43.0109</t>
  </si>
  <si>
    <t>43.0110</t>
  </si>
  <si>
    <t>43.0111</t>
  </si>
  <si>
    <t>43.0112</t>
  </si>
  <si>
    <t>43.0113</t>
  </si>
  <si>
    <t>43.0114</t>
  </si>
  <si>
    <t>43.0115</t>
  </si>
  <si>
    <t>43.0116</t>
  </si>
  <si>
    <t>43.0117</t>
  </si>
  <si>
    <t>43.0118</t>
  </si>
  <si>
    <t>43.0119</t>
  </si>
  <si>
    <t>43.0120</t>
  </si>
  <si>
    <t>43.0121</t>
  </si>
  <si>
    <t>43.0122</t>
  </si>
  <si>
    <t>43.0123</t>
  </si>
  <si>
    <t>43.0199</t>
  </si>
  <si>
    <t>43.0201</t>
  </si>
  <si>
    <t>43.0202</t>
  </si>
  <si>
    <t>43.0203</t>
  </si>
  <si>
    <t>43.0204</t>
  </si>
  <si>
    <t>43.0205</t>
  </si>
  <si>
    <t>43.0206</t>
  </si>
  <si>
    <t>43.0299</t>
  </si>
  <si>
    <t>43.0301</t>
  </si>
  <si>
    <t>43.0302</t>
  </si>
  <si>
    <t>43.0303</t>
  </si>
  <si>
    <t>43.0304</t>
  </si>
  <si>
    <t>43.0399</t>
  </si>
  <si>
    <t>43.0401</t>
  </si>
  <si>
    <t>43.0402</t>
  </si>
  <si>
    <t>43.0403</t>
  </si>
  <si>
    <t>43.0404</t>
  </si>
  <si>
    <t>43.0405</t>
  </si>
  <si>
    <t>43.0406</t>
  </si>
  <si>
    <t>43.0407</t>
  </si>
  <si>
    <t>43.0408</t>
  </si>
  <si>
    <t>43.0499</t>
  </si>
  <si>
    <t>43.9999</t>
  </si>
  <si>
    <t>44.0000</t>
  </si>
  <si>
    <t>44.0201</t>
  </si>
  <si>
    <t>44.0401</t>
  </si>
  <si>
    <t>44.0402</t>
  </si>
  <si>
    <t>44.0403</t>
  </si>
  <si>
    <t>44.0499</t>
  </si>
  <si>
    <t>44.0501</t>
  </si>
  <si>
    <t>44.0502</t>
  </si>
  <si>
    <t>44.0503</t>
  </si>
  <si>
    <t>44.0504</t>
  </si>
  <si>
    <t>44.0580</t>
  </si>
  <si>
    <t>44.0599</t>
  </si>
  <si>
    <t>44.0701</t>
  </si>
  <si>
    <t>44.0702</t>
  </si>
  <si>
    <t>44.0703</t>
  </si>
  <si>
    <t>44.0799</t>
  </si>
  <si>
    <t>44.9999</t>
  </si>
  <si>
    <t>45.0101</t>
  </si>
  <si>
    <t>45.0102</t>
  </si>
  <si>
    <t>45.0103</t>
  </si>
  <si>
    <t>45.0199</t>
  </si>
  <si>
    <t>45.0201</t>
  </si>
  <si>
    <t>45.0202</t>
  </si>
  <si>
    <t>45.0203</t>
  </si>
  <si>
    <t>45.0204</t>
  </si>
  <si>
    <t>45.0205</t>
  </si>
  <si>
    <t>45.0299</t>
  </si>
  <si>
    <t>45.0301</t>
  </si>
  <si>
    <t>45.0401</t>
  </si>
  <si>
    <t>45.0501</t>
  </si>
  <si>
    <t>45.0502</t>
  </si>
  <si>
    <t>45.0599</t>
  </si>
  <si>
    <t>45.0601</t>
  </si>
  <si>
    <t>45.0602</t>
  </si>
  <si>
    <t>45.0603</t>
  </si>
  <si>
    <t>45.0604</t>
  </si>
  <si>
    <t>45.0605</t>
  </si>
  <si>
    <t>45.0699</t>
  </si>
  <si>
    <t>45.0701</t>
  </si>
  <si>
    <t>45.0702</t>
  </si>
  <si>
    <t>45.0799</t>
  </si>
  <si>
    <t>45.0901</t>
  </si>
  <si>
    <t>45.0902</t>
  </si>
  <si>
    <t>45.0999</t>
  </si>
  <si>
    <t>45.1001</t>
  </si>
  <si>
    <t>45.1002</t>
  </si>
  <si>
    <t>45.1003</t>
  </si>
  <si>
    <t>45.1004</t>
  </si>
  <si>
    <t>45.1099</t>
  </si>
  <si>
    <t>45.1101</t>
  </si>
  <si>
    <t>45.1102</t>
  </si>
  <si>
    <t>45.1103</t>
  </si>
  <si>
    <t>45.1199</t>
  </si>
  <si>
    <t>45.1201</t>
  </si>
  <si>
    <t>45.1301</t>
  </si>
  <si>
    <t>45.1401</t>
  </si>
  <si>
    <t>45.1501</t>
  </si>
  <si>
    <t>45.9999</t>
  </si>
  <si>
    <t>46.0000</t>
  </si>
  <si>
    <t>46.0101</t>
  </si>
  <si>
    <t>46.0201</t>
  </si>
  <si>
    <t>46.0301</t>
  </si>
  <si>
    <t>46.0302</t>
  </si>
  <si>
    <t>46.0303</t>
  </si>
  <si>
    <t>46.0399</t>
  </si>
  <si>
    <t>46.0401</t>
  </si>
  <si>
    <t>46.0402</t>
  </si>
  <si>
    <t>46.0403</t>
  </si>
  <si>
    <t>46.0404</t>
  </si>
  <si>
    <t>46.0406</t>
  </si>
  <si>
    <t>46.0408</t>
  </si>
  <si>
    <t>46.0410</t>
  </si>
  <si>
    <t>46.0411</t>
  </si>
  <si>
    <t>46.0412</t>
  </si>
  <si>
    <t>46.0413</t>
  </si>
  <si>
    <t>46.0414</t>
  </si>
  <si>
    <t>46.0415</t>
  </si>
  <si>
    <t>46.0499</t>
  </si>
  <si>
    <t>46.0502</t>
  </si>
  <si>
    <t>46.0503</t>
  </si>
  <si>
    <t>46.0504</t>
  </si>
  <si>
    <t>46.0505</t>
  </si>
  <si>
    <t>46.0599</t>
  </si>
  <si>
    <t>46.9999</t>
  </si>
  <si>
    <t>47.0000</t>
  </si>
  <si>
    <t>47.0101</t>
  </si>
  <si>
    <t>47.0102</t>
  </si>
  <si>
    <t>47.0103</t>
  </si>
  <si>
    <t>47.0104</t>
  </si>
  <si>
    <t>47.0105</t>
  </si>
  <si>
    <t>47.0106</t>
  </si>
  <si>
    <t>47.0110</t>
  </si>
  <si>
    <t>47.0199</t>
  </si>
  <si>
    <t>47.0201</t>
  </si>
  <si>
    <t>47.0302</t>
  </si>
  <si>
    <t>47.0303</t>
  </si>
  <si>
    <t>47.0399</t>
  </si>
  <si>
    <t>47.0402</t>
  </si>
  <si>
    <t>47.0403</t>
  </si>
  <si>
    <t>47.0404</t>
  </si>
  <si>
    <t>47.0408</t>
  </si>
  <si>
    <t>47.0409</t>
  </si>
  <si>
    <t>47.0499</t>
  </si>
  <si>
    <t>47.0600</t>
  </si>
  <si>
    <t>47.0603</t>
  </si>
  <si>
    <t>47.0604</t>
  </si>
  <si>
    <t>47.0605</t>
  </si>
  <si>
    <t>47.0606</t>
  </si>
  <si>
    <t>47.0607</t>
  </si>
  <si>
    <t>47.0608</t>
  </si>
  <si>
    <t>47.0609</t>
  </si>
  <si>
    <t>47.0610</t>
  </si>
  <si>
    <t>47.0611</t>
  </si>
  <si>
    <t>47.0612</t>
  </si>
  <si>
    <t>47.0613</t>
  </si>
  <si>
    <t>47.0614</t>
  </si>
  <si>
    <t>47.0615</t>
  </si>
  <si>
    <t>47.0616</t>
  </si>
  <si>
    <t>47.0617</t>
  </si>
  <si>
    <t>47.0618</t>
  </si>
  <si>
    <t>47.0699</t>
  </si>
  <si>
    <t>47.0701</t>
  </si>
  <si>
    <t>47.0703</t>
  </si>
  <si>
    <t>47.0704</t>
  </si>
  <si>
    <t>47.0705</t>
  </si>
  <si>
    <t>47.0706</t>
  </si>
  <si>
    <t>47.0799</t>
  </si>
  <si>
    <t>47.9999</t>
  </si>
  <si>
    <t>48.0000</t>
  </si>
  <si>
    <t>48.0303</t>
  </si>
  <si>
    <t>48.0304</t>
  </si>
  <si>
    <t>48.0399</t>
  </si>
  <si>
    <t>48.0501</t>
  </si>
  <si>
    <t>48.0503</t>
  </si>
  <si>
    <t>48.0506</t>
  </si>
  <si>
    <t>48.0507</t>
  </si>
  <si>
    <t>48.0508</t>
  </si>
  <si>
    <t>48.0509</t>
  </si>
  <si>
    <t>48.0510</t>
  </si>
  <si>
    <t>48.0511</t>
  </si>
  <si>
    <t>48.0599</t>
  </si>
  <si>
    <t>48.0701</t>
  </si>
  <si>
    <t>48.0702</t>
  </si>
  <si>
    <t>48.0703</t>
  </si>
  <si>
    <t>48.0704</t>
  </si>
  <si>
    <t>48.0799</t>
  </si>
  <si>
    <t>48.0801</t>
  </si>
  <si>
    <t>48.9999</t>
  </si>
  <si>
    <t>49.0101</t>
  </si>
  <si>
    <t>49.0102</t>
  </si>
  <si>
    <t>49.0104</t>
  </si>
  <si>
    <t>49.0105</t>
  </si>
  <si>
    <t>49.0106</t>
  </si>
  <si>
    <t>49.0108</t>
  </si>
  <si>
    <t>49.0109</t>
  </si>
  <si>
    <t>49.0199</t>
  </si>
  <si>
    <t>49.0202</t>
  </si>
  <si>
    <t>49.0205</t>
  </si>
  <si>
    <t>49.0206</t>
  </si>
  <si>
    <t>49.0207</t>
  </si>
  <si>
    <t>49.0208</t>
  </si>
  <si>
    <t>49.0209</t>
  </si>
  <si>
    <t>49.0299</t>
  </si>
  <si>
    <t>49.0303</t>
  </si>
  <si>
    <t>49.0304</t>
  </si>
  <si>
    <t>49.0309</t>
  </si>
  <si>
    <t>49.0399</t>
  </si>
  <si>
    <t>49.9999</t>
  </si>
  <si>
    <t>50.0101</t>
  </si>
  <si>
    <t>50.0102</t>
  </si>
  <si>
    <t>50.0201</t>
  </si>
  <si>
    <t>50.0301</t>
  </si>
  <si>
    <t>50.0302</t>
  </si>
  <si>
    <t>50.0399</t>
  </si>
  <si>
    <t>50.0401</t>
  </si>
  <si>
    <t>50.0402</t>
  </si>
  <si>
    <t>50.0404</t>
  </si>
  <si>
    <t>50.0406</t>
  </si>
  <si>
    <t>50.0407</t>
  </si>
  <si>
    <t>50.0408</t>
  </si>
  <si>
    <t>50.0409</t>
  </si>
  <si>
    <t>50.0410</t>
  </si>
  <si>
    <t>50.0411</t>
  </si>
  <si>
    <t>50.0499</t>
  </si>
  <si>
    <t>50.0501</t>
  </si>
  <si>
    <t>50.0502</t>
  </si>
  <si>
    <t>50.0504</t>
  </si>
  <si>
    <t>50.0505</t>
  </si>
  <si>
    <t>50.0506</t>
  </si>
  <si>
    <t>50.0507</t>
  </si>
  <si>
    <t>50.0509</t>
  </si>
  <si>
    <t>50.0510</t>
  </si>
  <si>
    <t>50.0511</t>
  </si>
  <si>
    <t>50.0512</t>
  </si>
  <si>
    <t>50.0599</t>
  </si>
  <si>
    <t>50.0601</t>
  </si>
  <si>
    <t>50.0602</t>
  </si>
  <si>
    <t>50.0605</t>
  </si>
  <si>
    <t>50.0607</t>
  </si>
  <si>
    <t>50.0699</t>
  </si>
  <si>
    <t>50.0701</t>
  </si>
  <si>
    <t>50.0702</t>
  </si>
  <si>
    <t>50.0703</t>
  </si>
  <si>
    <t>50.0705</t>
  </si>
  <si>
    <t>50.0706</t>
  </si>
  <si>
    <t>50.0708</t>
  </si>
  <si>
    <t>50.0709</t>
  </si>
  <si>
    <t>50.0710</t>
  </si>
  <si>
    <t>50.0711</t>
  </si>
  <si>
    <t>50.0712</t>
  </si>
  <si>
    <t>50.0713</t>
  </si>
  <si>
    <t>50.0714</t>
  </si>
  <si>
    <t>50.0799</t>
  </si>
  <si>
    <t>50.0901</t>
  </si>
  <si>
    <t>50.0902</t>
  </si>
  <si>
    <t>50.0903</t>
  </si>
  <si>
    <t>50.0904</t>
  </si>
  <si>
    <t>50.0905</t>
  </si>
  <si>
    <t>50.0906</t>
  </si>
  <si>
    <t>50.0907</t>
  </si>
  <si>
    <t>50.0908</t>
  </si>
  <si>
    <t>50.0910</t>
  </si>
  <si>
    <t>50.0911</t>
  </si>
  <si>
    <t>50.0912</t>
  </si>
  <si>
    <t>50.0913</t>
  </si>
  <si>
    <t>50.0914</t>
  </si>
  <si>
    <t>50.0915</t>
  </si>
  <si>
    <t>50.0916</t>
  </si>
  <si>
    <t>50.0917</t>
  </si>
  <si>
    <t>50.0999</t>
  </si>
  <si>
    <t>50.1001</t>
  </si>
  <si>
    <t>50.1002</t>
  </si>
  <si>
    <t>50.1003</t>
  </si>
  <si>
    <t>50.1004</t>
  </si>
  <si>
    <t>50.1099</t>
  </si>
  <si>
    <t>50.1101</t>
  </si>
  <si>
    <t>50.9999</t>
  </si>
  <si>
    <t>51.0000</t>
  </si>
  <si>
    <t>51.0001</t>
  </si>
  <si>
    <t>51.0101</t>
  </si>
  <si>
    <t>51.0201</t>
  </si>
  <si>
    <t>51.0202</t>
  </si>
  <si>
    <t>51.0203</t>
  </si>
  <si>
    <t>51.0204</t>
  </si>
  <si>
    <t>51.0299</t>
  </si>
  <si>
    <t>51.0401</t>
  </si>
  <si>
    <t>51.0501</t>
  </si>
  <si>
    <t>51.0502</t>
  </si>
  <si>
    <t>51.0503</t>
  </si>
  <si>
    <t>51.0504</t>
  </si>
  <si>
    <t>51.0505</t>
  </si>
  <si>
    <t>51.0506</t>
  </si>
  <si>
    <t>51.0507</t>
  </si>
  <si>
    <t>51.0508</t>
  </si>
  <si>
    <t>51.0509</t>
  </si>
  <si>
    <t>51.0510</t>
  </si>
  <si>
    <t>51.0511</t>
  </si>
  <si>
    <t>51.0512</t>
  </si>
  <si>
    <t>51.0513</t>
  </si>
  <si>
    <t>51.0514</t>
  </si>
  <si>
    <t>51.0599</t>
  </si>
  <si>
    <t>51.0601</t>
  </si>
  <si>
    <t>51.0602</t>
  </si>
  <si>
    <t>51.0603</t>
  </si>
  <si>
    <t>51.0699</t>
  </si>
  <si>
    <t>51.0701</t>
  </si>
  <si>
    <t>51.0702</t>
  </si>
  <si>
    <t>51.0703</t>
  </si>
  <si>
    <t>51.0704</t>
  </si>
  <si>
    <t>51.0705</t>
  </si>
  <si>
    <t>51.0706</t>
  </si>
  <si>
    <t>51.0707</t>
  </si>
  <si>
    <t>51.0708</t>
  </si>
  <si>
    <t>51.0709</t>
  </si>
  <si>
    <t>51.0710</t>
  </si>
  <si>
    <t>51.0711</t>
  </si>
  <si>
    <t>51.0712</t>
  </si>
  <si>
    <t>51.0713</t>
  </si>
  <si>
    <t>51.0714</t>
  </si>
  <si>
    <t>51.0715</t>
  </si>
  <si>
    <t>51.0716</t>
  </si>
  <si>
    <t>51.0717</t>
  </si>
  <si>
    <t>51.0718</t>
  </si>
  <si>
    <t>51.0719</t>
  </si>
  <si>
    <t>51.0720</t>
  </si>
  <si>
    <t>51.0721</t>
  </si>
  <si>
    <t>51.0722</t>
  </si>
  <si>
    <t>51.0723</t>
  </si>
  <si>
    <t>51.0799</t>
  </si>
  <si>
    <t>51.0801</t>
  </si>
  <si>
    <t>51.0802</t>
  </si>
  <si>
    <t>51.0803</t>
  </si>
  <si>
    <t>51.0805</t>
  </si>
  <si>
    <t>51.0806</t>
  </si>
  <si>
    <t>51.0808</t>
  </si>
  <si>
    <t>51.0809</t>
  </si>
  <si>
    <t>51.0810</t>
  </si>
  <si>
    <t>51.0811</t>
  </si>
  <si>
    <t>51.0812</t>
  </si>
  <si>
    <t>51.0813</t>
  </si>
  <si>
    <t>51.0814</t>
  </si>
  <si>
    <t>51.0815</t>
  </si>
  <si>
    <t>51.0816</t>
  </si>
  <si>
    <t>51.0817</t>
  </si>
  <si>
    <t>51.0899</t>
  </si>
  <si>
    <t>51.0901</t>
  </si>
  <si>
    <t>51.0902</t>
  </si>
  <si>
    <t>51.0903</t>
  </si>
  <si>
    <t>51.0904</t>
  </si>
  <si>
    <t>51.0905</t>
  </si>
  <si>
    <t>51.0906</t>
  </si>
  <si>
    <t>51.0907</t>
  </si>
  <si>
    <t>51.0908</t>
  </si>
  <si>
    <t>51.0909</t>
  </si>
  <si>
    <t>51.0910</t>
  </si>
  <si>
    <t>51.0911</t>
  </si>
  <si>
    <t>51.0912</t>
  </si>
  <si>
    <t>51.0913</t>
  </si>
  <si>
    <t>51.0914</t>
  </si>
  <si>
    <t>51.0915</t>
  </si>
  <si>
    <t>51.0916</t>
  </si>
  <si>
    <t>51.0917</t>
  </si>
  <si>
    <t>51.0918</t>
  </si>
  <si>
    <t>51.0919</t>
  </si>
  <si>
    <t>51.0920</t>
  </si>
  <si>
    <t>51.0921</t>
  </si>
  <si>
    <t>51.0922</t>
  </si>
  <si>
    <t>51.0923</t>
  </si>
  <si>
    <t>51.0924</t>
  </si>
  <si>
    <t>51.0999</t>
  </si>
  <si>
    <t>51.1001</t>
  </si>
  <si>
    <t>51.1002</t>
  </si>
  <si>
    <t>51.1003</t>
  </si>
  <si>
    <t>51.1004</t>
  </si>
  <si>
    <t>51.1005</t>
  </si>
  <si>
    <t>51.1006</t>
  </si>
  <si>
    <t>51.1007</t>
  </si>
  <si>
    <t>51.1008</t>
  </si>
  <si>
    <t>51.1009</t>
  </si>
  <si>
    <t>51.1010</t>
  </si>
  <si>
    <t>51.1011</t>
  </si>
  <si>
    <t>51.1012</t>
  </si>
  <si>
    <t>51.1099</t>
  </si>
  <si>
    <t>51.1101</t>
  </si>
  <si>
    <t>51.1102</t>
  </si>
  <si>
    <t>51.1103</t>
  </si>
  <si>
    <t>51.1104</t>
  </si>
  <si>
    <t>51.1105</t>
  </si>
  <si>
    <t>51.1106</t>
  </si>
  <si>
    <t>51.1107</t>
  </si>
  <si>
    <t>51.1108</t>
  </si>
  <si>
    <t>51.1109</t>
  </si>
  <si>
    <t>51.1110</t>
  </si>
  <si>
    <t>51.1111</t>
  </si>
  <si>
    <t>51.1199</t>
  </si>
  <si>
    <t>51.1201</t>
  </si>
  <si>
    <t>51.1202</t>
  </si>
  <si>
    <t>51.1203</t>
  </si>
  <si>
    <t>51.1299</t>
  </si>
  <si>
    <t>51.1401</t>
  </si>
  <si>
    <t>51.1402</t>
  </si>
  <si>
    <t>51.1403</t>
  </si>
  <si>
    <t>51.1404</t>
  </si>
  <si>
    <t>51.1405</t>
  </si>
  <si>
    <t>51.1499</t>
  </si>
  <si>
    <t>51.1501</t>
  </si>
  <si>
    <t>51.1502</t>
  </si>
  <si>
    <t>51.1503</t>
  </si>
  <si>
    <t>51.1504</t>
  </si>
  <si>
    <t>51.1505</t>
  </si>
  <si>
    <t>51.1506</t>
  </si>
  <si>
    <t>51.1507</t>
  </si>
  <si>
    <t>51.1508</t>
  </si>
  <si>
    <t>51.1509</t>
  </si>
  <si>
    <t>51.1510</t>
  </si>
  <si>
    <t>51.1511</t>
  </si>
  <si>
    <t>51.1512</t>
  </si>
  <si>
    <t>51.1513</t>
  </si>
  <si>
    <t>51.1580</t>
  </si>
  <si>
    <t>51.1599</t>
  </si>
  <si>
    <t>51.1701</t>
  </si>
  <si>
    <t>51.1801</t>
  </si>
  <si>
    <t>51.1802</t>
  </si>
  <si>
    <t>51.1803</t>
  </si>
  <si>
    <t>51.1804</t>
  </si>
  <si>
    <t>51.1899</t>
  </si>
  <si>
    <t>51.1901</t>
  </si>
  <si>
    <t>51.2001</t>
  </si>
  <si>
    <t>51.2002</t>
  </si>
  <si>
    <t>51.2003</t>
  </si>
  <si>
    <t>51.2004</t>
  </si>
  <si>
    <t>51.2005</t>
  </si>
  <si>
    <t>51.2006</t>
  </si>
  <si>
    <t>51.2007</t>
  </si>
  <si>
    <t>51.2008</t>
  </si>
  <si>
    <t>51.2009</t>
  </si>
  <si>
    <t>51.2010</t>
  </si>
  <si>
    <t>51.2011</t>
  </si>
  <si>
    <t>51.2099</t>
  </si>
  <si>
    <t>51.2101</t>
  </si>
  <si>
    <t>51.2201</t>
  </si>
  <si>
    <t>51.2202</t>
  </si>
  <si>
    <t>51.2205</t>
  </si>
  <si>
    <t>51.2206</t>
  </si>
  <si>
    <t>51.2207</t>
  </si>
  <si>
    <t>51.2208</t>
  </si>
  <si>
    <t>51.2209</t>
  </si>
  <si>
    <t>51.2210</t>
  </si>
  <si>
    <t>51.2211</t>
  </si>
  <si>
    <t>51.2212</t>
  </si>
  <si>
    <t>51.2213</t>
  </si>
  <si>
    <t>51.2214</t>
  </si>
  <si>
    <t>51.2280</t>
  </si>
  <si>
    <t>51.2299</t>
  </si>
  <si>
    <t>51.2300</t>
  </si>
  <si>
    <t>51.2301</t>
  </si>
  <si>
    <t>51.2302</t>
  </si>
  <si>
    <t>51.2305</t>
  </si>
  <si>
    <t>51.2306</t>
  </si>
  <si>
    <t>51.2307</t>
  </si>
  <si>
    <t>51.2308</t>
  </si>
  <si>
    <t>51.2309</t>
  </si>
  <si>
    <t>51.2310</t>
  </si>
  <si>
    <t>51.2311</t>
  </si>
  <si>
    <t>51.2312</t>
  </si>
  <si>
    <t>51.2313</t>
  </si>
  <si>
    <t>51.2314</t>
  </si>
  <si>
    <t>51.2315</t>
  </si>
  <si>
    <t>51.2316</t>
  </si>
  <si>
    <t>51.2317</t>
  </si>
  <si>
    <t>51.2399</t>
  </si>
  <si>
    <t>51.2401</t>
  </si>
  <si>
    <t>51.2501</t>
  </si>
  <si>
    <t>51.2502</t>
  </si>
  <si>
    <t>51.2503</t>
  </si>
  <si>
    <t>51.2504</t>
  </si>
  <si>
    <t>51.2505</t>
  </si>
  <si>
    <t>51.2506</t>
  </si>
  <si>
    <t>51.2507</t>
  </si>
  <si>
    <t>51.2508</t>
  </si>
  <si>
    <t>51.2509</t>
  </si>
  <si>
    <t>51.2510</t>
  </si>
  <si>
    <t>51.2511</t>
  </si>
  <si>
    <t>51.2599</t>
  </si>
  <si>
    <t>51.2601</t>
  </si>
  <si>
    <t>51.2602</t>
  </si>
  <si>
    <t>51.2603</t>
  </si>
  <si>
    <t>51.2604</t>
  </si>
  <si>
    <t>51.2605</t>
  </si>
  <si>
    <t>51.2699</t>
  </si>
  <si>
    <t>51.2703</t>
  </si>
  <si>
    <t>51.2706</t>
  </si>
  <si>
    <t>51.2799</t>
  </si>
  <si>
    <t>51.3101</t>
  </si>
  <si>
    <t>51.3102</t>
  </si>
  <si>
    <t>51.3103</t>
  </si>
  <si>
    <t>51.3104</t>
  </si>
  <si>
    <t>51.3199</t>
  </si>
  <si>
    <t>51.3201</t>
  </si>
  <si>
    <t>51.3202</t>
  </si>
  <si>
    <t>51.3203</t>
  </si>
  <si>
    <t>51.3204</t>
  </si>
  <si>
    <t>51.3205</t>
  </si>
  <si>
    <t>51.3206</t>
  </si>
  <si>
    <t>51.3299</t>
  </si>
  <si>
    <t>51.3300</t>
  </si>
  <si>
    <t>51.3301</t>
  </si>
  <si>
    <t>51.3302</t>
  </si>
  <si>
    <t>51.3303</t>
  </si>
  <si>
    <t>51.3304</t>
  </si>
  <si>
    <t>51.3305</t>
  </si>
  <si>
    <t>51.3306</t>
  </si>
  <si>
    <t>51.3399</t>
  </si>
  <si>
    <t>51.3401</t>
  </si>
  <si>
    <t>51.3499</t>
  </si>
  <si>
    <t>51.3501</t>
  </si>
  <si>
    <t>51.3502</t>
  </si>
  <si>
    <t>51.3503</t>
  </si>
  <si>
    <t>51.3599</t>
  </si>
  <si>
    <t>51.3601</t>
  </si>
  <si>
    <t>51.3602</t>
  </si>
  <si>
    <t>51.3603</t>
  </si>
  <si>
    <t>51.3699</t>
  </si>
  <si>
    <t>51.3701</t>
  </si>
  <si>
    <t>51.3702</t>
  </si>
  <si>
    <t>51.3703</t>
  </si>
  <si>
    <t>51.3704</t>
  </si>
  <si>
    <t>51.3799</t>
  </si>
  <si>
    <t>51.3801</t>
  </si>
  <si>
    <t>51.3802</t>
  </si>
  <si>
    <t>51.3803</t>
  </si>
  <si>
    <t>51.3804</t>
  </si>
  <si>
    <t>51.3805</t>
  </si>
  <si>
    <t>51.3806</t>
  </si>
  <si>
    <t>51.3807</t>
  </si>
  <si>
    <t>51.3808</t>
  </si>
  <si>
    <t>51.3809</t>
  </si>
  <si>
    <t>51.3810</t>
  </si>
  <si>
    <t>51.3811</t>
  </si>
  <si>
    <t>51.3812</t>
  </si>
  <si>
    <t>51.3813</t>
  </si>
  <si>
    <t>51.3814</t>
  </si>
  <si>
    <t>51.3815</t>
  </si>
  <si>
    <t>51.3816</t>
  </si>
  <si>
    <t>51.3817</t>
  </si>
  <si>
    <t>51.3818</t>
  </si>
  <si>
    <t>51.3819</t>
  </si>
  <si>
    <t>51.3820</t>
  </si>
  <si>
    <t>51.3821</t>
  </si>
  <si>
    <t>51.3822</t>
  </si>
  <si>
    <t>51.3823</t>
  </si>
  <si>
    <t>51.3824</t>
  </si>
  <si>
    <t>51.3899</t>
  </si>
  <si>
    <t>51.3901</t>
  </si>
  <si>
    <t>51.3902</t>
  </si>
  <si>
    <t>51.3999</t>
  </si>
  <si>
    <t>51.9980</t>
  </si>
  <si>
    <t>51.9999</t>
  </si>
  <si>
    <t>52.0101</t>
  </si>
  <si>
    <t>52.0201</t>
  </si>
  <si>
    <t>52.0202</t>
  </si>
  <si>
    <t>52.0203</t>
  </si>
  <si>
    <t>52.0204</t>
  </si>
  <si>
    <t>52.0205</t>
  </si>
  <si>
    <t>52.0206</t>
  </si>
  <si>
    <t>52.0207</t>
  </si>
  <si>
    <t>52.0208</t>
  </si>
  <si>
    <t>52.0209</t>
  </si>
  <si>
    <t>52.0210</t>
  </si>
  <si>
    <t>52.0211</t>
  </si>
  <si>
    <t>52.0212</t>
  </si>
  <si>
    <t>52.0213</t>
  </si>
  <si>
    <t>52.0214</t>
  </si>
  <si>
    <t>52.0215</t>
  </si>
  <si>
    <t>52.0216</t>
  </si>
  <si>
    <t>52.0299</t>
  </si>
  <si>
    <t>52.0301</t>
  </si>
  <si>
    <t>52.0302</t>
  </si>
  <si>
    <t>52.0303</t>
  </si>
  <si>
    <t>52.0304</t>
  </si>
  <si>
    <t>52.0305</t>
  </si>
  <si>
    <t>52.0399</t>
  </si>
  <si>
    <t>52.0401</t>
  </si>
  <si>
    <t>52.0402</t>
  </si>
  <si>
    <t>52.0406</t>
  </si>
  <si>
    <t>52.0407</t>
  </si>
  <si>
    <t>52.0408</t>
  </si>
  <si>
    <t>52.0409</t>
  </si>
  <si>
    <t>52.0410</t>
  </si>
  <si>
    <t>52.0411</t>
  </si>
  <si>
    <t>52.0499</t>
  </si>
  <si>
    <t>52.0501</t>
  </si>
  <si>
    <t>52.0502</t>
  </si>
  <si>
    <t>52.0599</t>
  </si>
  <si>
    <t>52.0601</t>
  </si>
  <si>
    <t>52.0701</t>
  </si>
  <si>
    <t>52.0702</t>
  </si>
  <si>
    <t>52.0703</t>
  </si>
  <si>
    <t>52.0704</t>
  </si>
  <si>
    <t>52.0799</t>
  </si>
  <si>
    <t>52.0801</t>
  </si>
  <si>
    <t>52.0803</t>
  </si>
  <si>
    <t>52.0804</t>
  </si>
  <si>
    <t>52.0806</t>
  </si>
  <si>
    <t>52.0807</t>
  </si>
  <si>
    <t>52.0808</t>
  </si>
  <si>
    <t>52.0809</t>
  </si>
  <si>
    <t>52.0810</t>
  </si>
  <si>
    <t>52.0899</t>
  </si>
  <si>
    <t>52.0901</t>
  </si>
  <si>
    <t>52.0903</t>
  </si>
  <si>
    <t>52.0904</t>
  </si>
  <si>
    <t>52.0905</t>
  </si>
  <si>
    <t>52.0906</t>
  </si>
  <si>
    <t>52.0907</t>
  </si>
  <si>
    <t>52.0908</t>
  </si>
  <si>
    <t>52.0909</t>
  </si>
  <si>
    <t>52.0910</t>
  </si>
  <si>
    <t>52.0999</t>
  </si>
  <si>
    <t>52.1001</t>
  </si>
  <si>
    <t>52.1002</t>
  </si>
  <si>
    <t>52.1003</t>
  </si>
  <si>
    <t>52.1004</t>
  </si>
  <si>
    <t>52.1005</t>
  </si>
  <si>
    <t>52.1006</t>
  </si>
  <si>
    <t>52.1099</t>
  </si>
  <si>
    <t>52.1101</t>
  </si>
  <si>
    <t>52.1201</t>
  </si>
  <si>
    <t>52.1206</t>
  </si>
  <si>
    <t>52.1207</t>
  </si>
  <si>
    <t>52.1299</t>
  </si>
  <si>
    <t>52.1301</t>
  </si>
  <si>
    <t>52.1302</t>
  </si>
  <si>
    <t>52.1304</t>
  </si>
  <si>
    <t>52.1399</t>
  </si>
  <si>
    <t>52.1401</t>
  </si>
  <si>
    <t>52.1402</t>
  </si>
  <si>
    <t>52.1403</t>
  </si>
  <si>
    <t>52.1404</t>
  </si>
  <si>
    <t>52.1499</t>
  </si>
  <si>
    <t>52.1501</t>
  </si>
  <si>
    <t>52.1601</t>
  </si>
  <si>
    <t>52.1701</t>
  </si>
  <si>
    <t>52.1801</t>
  </si>
  <si>
    <t>52.1802</t>
  </si>
  <si>
    <t>52.1803</t>
  </si>
  <si>
    <t>52.1804</t>
  </si>
  <si>
    <t>52.1880</t>
  </si>
  <si>
    <t>52.1899</t>
  </si>
  <si>
    <t>52.1901</t>
  </si>
  <si>
    <t>52.1902</t>
  </si>
  <si>
    <t>52.1903</t>
  </si>
  <si>
    <t>52.1904</t>
  </si>
  <si>
    <t>52.1905</t>
  </si>
  <si>
    <t>52.1906</t>
  </si>
  <si>
    <t>52.1907</t>
  </si>
  <si>
    <t>52.1908</t>
  </si>
  <si>
    <t>52.1909</t>
  </si>
  <si>
    <t>52.1910</t>
  </si>
  <si>
    <t>52.1980</t>
  </si>
  <si>
    <t>52.1999</t>
  </si>
  <si>
    <t>52.2001</t>
  </si>
  <si>
    <t>52.2002</t>
  </si>
  <si>
    <t>52.2099</t>
  </si>
  <si>
    <t>52.2101</t>
  </si>
  <si>
    <t>52.9999</t>
  </si>
  <si>
    <t>53.0101</t>
  </si>
  <si>
    <t>53.0102</t>
  </si>
  <si>
    <t>53.0103</t>
  </si>
  <si>
    <t>53.0104</t>
  </si>
  <si>
    <t>53.0105</t>
  </si>
  <si>
    <t>53.0199</t>
  </si>
  <si>
    <t>53.0201</t>
  </si>
  <si>
    <t>53.0202</t>
  </si>
  <si>
    <t>53.0203</t>
  </si>
  <si>
    <t>53.0299</t>
  </si>
  <si>
    <t>54.0101</t>
  </si>
  <si>
    <t>54.0102</t>
  </si>
  <si>
    <t>54.0103</t>
  </si>
  <si>
    <t>54.0104</t>
  </si>
  <si>
    <t>54.0105</t>
  </si>
  <si>
    <t>54.0106</t>
  </si>
  <si>
    <t>54.0107</t>
  </si>
  <si>
    <t>54.0108</t>
  </si>
  <si>
    <t>54.0199</t>
  </si>
  <si>
    <t>55.0101</t>
  </si>
  <si>
    <t>55.1301</t>
  </si>
  <si>
    <t>55.1302</t>
  </si>
  <si>
    <t>55.1303</t>
  </si>
  <si>
    <t>55.1304</t>
  </si>
  <si>
    <t>55.1399</t>
  </si>
  <si>
    <t>55.1401</t>
  </si>
  <si>
    <t>55.1403</t>
  </si>
  <si>
    <t>55.1404</t>
  </si>
  <si>
    <t>55.1405</t>
  </si>
  <si>
    <t>55.1499</t>
  </si>
  <si>
    <t>55.9999</t>
  </si>
  <si>
    <t>60.0101</t>
  </si>
  <si>
    <t>60.0102</t>
  </si>
  <si>
    <t>60.0103</t>
  </si>
  <si>
    <t>60.0104</t>
  </si>
  <si>
    <t>60.0105</t>
  </si>
  <si>
    <t>60.0106</t>
  </si>
  <si>
    <t>60.0107</t>
  </si>
  <si>
    <t>60.0108</t>
  </si>
  <si>
    <t>60.0109</t>
  </si>
  <si>
    <t>60.0110</t>
  </si>
  <si>
    <t>60.0199</t>
  </si>
  <si>
    <t>60.0301</t>
  </si>
  <si>
    <t>60.0302</t>
  </si>
  <si>
    <t>60.0303</t>
  </si>
  <si>
    <t>60.0304</t>
  </si>
  <si>
    <t>60.0305</t>
  </si>
  <si>
    <t>60.0306</t>
  </si>
  <si>
    <t>60.0307</t>
  </si>
  <si>
    <t>60.0308</t>
  </si>
  <si>
    <t>60.0309</t>
  </si>
  <si>
    <t>60.0310</t>
  </si>
  <si>
    <t>60.0311</t>
  </si>
  <si>
    <t>60.0312</t>
  </si>
  <si>
    <t>60.0313</t>
  </si>
  <si>
    <t>60.0314</t>
  </si>
  <si>
    <t>60.0315</t>
  </si>
  <si>
    <t>60.0316</t>
  </si>
  <si>
    <t>60.0317</t>
  </si>
  <si>
    <t>60.0318</t>
  </si>
  <si>
    <t>60.0319</t>
  </si>
  <si>
    <t>60.0320</t>
  </si>
  <si>
    <t>60.0399</t>
  </si>
  <si>
    <t>60.0401</t>
  </si>
  <si>
    <t>60.0402</t>
  </si>
  <si>
    <t>60.0403</t>
  </si>
  <si>
    <t>60.0404</t>
  </si>
  <si>
    <t>60.0405</t>
  </si>
  <si>
    <t>60.0406</t>
  </si>
  <si>
    <t>60.0407</t>
  </si>
  <si>
    <t>60.0408</t>
  </si>
  <si>
    <t>60.0409</t>
  </si>
  <si>
    <t>60.0410</t>
  </si>
  <si>
    <t>60.0411</t>
  </si>
  <si>
    <t>60.0412</t>
  </si>
  <si>
    <t>60.0413</t>
  </si>
  <si>
    <t>60.0414</t>
  </si>
  <si>
    <t>60.0415</t>
  </si>
  <si>
    <t>60.0416</t>
  </si>
  <si>
    <t>60.0417</t>
  </si>
  <si>
    <t>60.0418</t>
  </si>
  <si>
    <t>60.0419</t>
  </si>
  <si>
    <t>60.0420</t>
  </si>
  <si>
    <t>60.0421</t>
  </si>
  <si>
    <t>60.0422</t>
  </si>
  <si>
    <t>60.0423</t>
  </si>
  <si>
    <t>60.0424</t>
  </si>
  <si>
    <t>60.0425</t>
  </si>
  <si>
    <t>60.0426</t>
  </si>
  <si>
    <t>60.0427</t>
  </si>
  <si>
    <t>60.0428</t>
  </si>
  <si>
    <t>60.0429</t>
  </si>
  <si>
    <t>60.0430</t>
  </si>
  <si>
    <t>60.0431</t>
  </si>
  <si>
    <t>60.0432</t>
  </si>
  <si>
    <t>60.0433</t>
  </si>
  <si>
    <t>60.0434</t>
  </si>
  <si>
    <t>60.0499</t>
  </si>
  <si>
    <t>60.0501</t>
  </si>
  <si>
    <t>60.0502</t>
  </si>
  <si>
    <t>60.0503</t>
  </si>
  <si>
    <t>60.0504</t>
  </si>
  <si>
    <t>60.0505</t>
  </si>
  <si>
    <t>60.0506</t>
  </si>
  <si>
    <t>60.0507</t>
  </si>
  <si>
    <t>60.0508</t>
  </si>
  <si>
    <t>60.0509</t>
  </si>
  <si>
    <t>60.0510</t>
  </si>
  <si>
    <t>60.0511</t>
  </si>
  <si>
    <t>60.0512</t>
  </si>
  <si>
    <t>60.0513</t>
  </si>
  <si>
    <t>60.0514</t>
  </si>
  <si>
    <t>60.0515</t>
  </si>
  <si>
    <t>60.0516</t>
  </si>
  <si>
    <t>60.0517</t>
  </si>
  <si>
    <t>60.0518</t>
  </si>
  <si>
    <t>60.0519</t>
  </si>
  <si>
    <t>60.0520</t>
  </si>
  <si>
    <t>60.0521</t>
  </si>
  <si>
    <t>60.0522</t>
  </si>
  <si>
    <t>60.0523</t>
  </si>
  <si>
    <t>60.0524</t>
  </si>
  <si>
    <t>60.0525</t>
  </si>
  <si>
    <t>60.0526</t>
  </si>
  <si>
    <t>60.0527</t>
  </si>
  <si>
    <t>60.0528</t>
  </si>
  <si>
    <t>60.0529</t>
  </si>
  <si>
    <t>60.0530</t>
  </si>
  <si>
    <t>60.0531</t>
  </si>
  <si>
    <t>60.0532</t>
  </si>
  <si>
    <t>60.0533</t>
  </si>
  <si>
    <t>60.0534</t>
  </si>
  <si>
    <t>60.0535</t>
  </si>
  <si>
    <t>60.0536</t>
  </si>
  <si>
    <t>60.0537</t>
  </si>
  <si>
    <t>60.0538</t>
  </si>
  <si>
    <t>60.0539</t>
  </si>
  <si>
    <t>60.0540</t>
  </si>
  <si>
    <t>60.0541</t>
  </si>
  <si>
    <t>60.0542</t>
  </si>
  <si>
    <t>60.0543</t>
  </si>
  <si>
    <t>60.0544</t>
  </si>
  <si>
    <t>60.0545</t>
  </si>
  <si>
    <t>60.0546</t>
  </si>
  <si>
    <t>60.0547</t>
  </si>
  <si>
    <t>60.0548</t>
  </si>
  <si>
    <t>60.0549</t>
  </si>
  <si>
    <t>60.0550</t>
  </si>
  <si>
    <t>60.0551</t>
  </si>
  <si>
    <t>60.0552</t>
  </si>
  <si>
    <t>60.0553</t>
  </si>
  <si>
    <t>60.0554</t>
  </si>
  <si>
    <t>60.0555</t>
  </si>
  <si>
    <t>60.0556</t>
  </si>
  <si>
    <t>60.0557</t>
  </si>
  <si>
    <t>60.0558</t>
  </si>
  <si>
    <t>60.0559</t>
  </si>
  <si>
    <t>60.0560</t>
  </si>
  <si>
    <t>60.0561</t>
  </si>
  <si>
    <t>60.0562</t>
  </si>
  <si>
    <t>60.0563</t>
  </si>
  <si>
    <t>60.0564</t>
  </si>
  <si>
    <t>60.0565</t>
  </si>
  <si>
    <t>60.0566</t>
  </si>
  <si>
    <t>60.0567</t>
  </si>
  <si>
    <t>60.0568</t>
  </si>
  <si>
    <t>60.0569</t>
  </si>
  <si>
    <t>60.0570</t>
  </si>
  <si>
    <t>60.0571</t>
  </si>
  <si>
    <t>60.0572</t>
  </si>
  <si>
    <t>60.0573</t>
  </si>
  <si>
    <t>60.0574</t>
  </si>
  <si>
    <t>60.0575</t>
  </si>
  <si>
    <t>60.0576</t>
  </si>
  <si>
    <t>60.0577</t>
  </si>
  <si>
    <t>60.0578</t>
  </si>
  <si>
    <t>60.0579</t>
  </si>
  <si>
    <t>60.0580</t>
  </si>
  <si>
    <t>60.0581</t>
  </si>
  <si>
    <t>60.0582</t>
  </si>
  <si>
    <t>60.0583</t>
  </si>
  <si>
    <t>60.0584</t>
  </si>
  <si>
    <t>60.0599</t>
  </si>
  <si>
    <t>60.0601</t>
  </si>
  <si>
    <t>60.0602</t>
  </si>
  <si>
    <t>60.0701</t>
  </si>
  <si>
    <t>60.0702</t>
  </si>
  <si>
    <t>60.0703</t>
  </si>
  <si>
    <t>60.0704</t>
  </si>
  <si>
    <t>60.0705</t>
  </si>
  <si>
    <t>60.0706</t>
  </si>
  <si>
    <t>60.0707</t>
  </si>
  <si>
    <t>60.0708</t>
  </si>
  <si>
    <t>60.0709</t>
  </si>
  <si>
    <t>60.0710</t>
  </si>
  <si>
    <t>60.0711</t>
  </si>
  <si>
    <t>60.0712</t>
  </si>
  <si>
    <t>60.0713</t>
  </si>
  <si>
    <t>60.0714</t>
  </si>
  <si>
    <t>60.0715</t>
  </si>
  <si>
    <t>60.0716</t>
  </si>
  <si>
    <t>60.0717</t>
  </si>
  <si>
    <t>60.0718</t>
  </si>
  <si>
    <t>60.0719</t>
  </si>
  <si>
    <t>60.0720</t>
  </si>
  <si>
    <t>60.0721</t>
  </si>
  <si>
    <t>60.0722</t>
  </si>
  <si>
    <t>60.0723</t>
  </si>
  <si>
    <t>60.0724</t>
  </si>
  <si>
    <t>60.0725</t>
  </si>
  <si>
    <t>60.0726</t>
  </si>
  <si>
    <t>60.0727</t>
  </si>
  <si>
    <t>60.0728</t>
  </si>
  <si>
    <t>60.0729</t>
  </si>
  <si>
    <t>60.0730</t>
  </si>
  <si>
    <t>60.0731</t>
  </si>
  <si>
    <t>60.0732</t>
  </si>
  <si>
    <t>60.0733</t>
  </si>
  <si>
    <t>60.0734</t>
  </si>
  <si>
    <t>60.0735</t>
  </si>
  <si>
    <t>60.0736</t>
  </si>
  <si>
    <t>60.0737</t>
  </si>
  <si>
    <t>60.0738</t>
  </si>
  <si>
    <t>60.0739</t>
  </si>
  <si>
    <t>60.0740</t>
  </si>
  <si>
    <t>60.0741</t>
  </si>
  <si>
    <t>60.0742</t>
  </si>
  <si>
    <t>60.0743</t>
  </si>
  <si>
    <t>60.0744</t>
  </si>
  <si>
    <t>60.0745</t>
  </si>
  <si>
    <t>60.0746</t>
  </si>
  <si>
    <t>60.0747</t>
  </si>
  <si>
    <t>60.0748</t>
  </si>
  <si>
    <t>60.0749</t>
  </si>
  <si>
    <t>60.0750</t>
  </si>
  <si>
    <t>60.0751</t>
  </si>
  <si>
    <t>60.0799</t>
  </si>
  <si>
    <t>60.0801</t>
  </si>
  <si>
    <t>60.0802</t>
  </si>
  <si>
    <t>60.0803</t>
  </si>
  <si>
    <t>60.0804</t>
  </si>
  <si>
    <t>60.0805</t>
  </si>
  <si>
    <t>60.0806</t>
  </si>
  <si>
    <t>60.0807</t>
  </si>
  <si>
    <t>60.0808</t>
  </si>
  <si>
    <t>60.0809</t>
  </si>
  <si>
    <t>60.0810</t>
  </si>
  <si>
    <t>60.0811</t>
  </si>
  <si>
    <t>60.0812</t>
  </si>
  <si>
    <t>60.0813</t>
  </si>
  <si>
    <t>60.0814</t>
  </si>
  <si>
    <t>60.0815</t>
  </si>
  <si>
    <t>60.0816</t>
  </si>
  <si>
    <t>60.0817</t>
  </si>
  <si>
    <t>60.0818</t>
  </si>
  <si>
    <t>60.0819</t>
  </si>
  <si>
    <t>60.0820</t>
  </si>
  <si>
    <t>60.0821</t>
  </si>
  <si>
    <t>60.0822</t>
  </si>
  <si>
    <t>60.0823</t>
  </si>
  <si>
    <t>60.0824</t>
  </si>
  <si>
    <t>60.0825</t>
  </si>
  <si>
    <t>60.0826</t>
  </si>
  <si>
    <t>60.0827</t>
  </si>
  <si>
    <t>60.0828</t>
  </si>
  <si>
    <t>60.0829</t>
  </si>
  <si>
    <t>60.0830</t>
  </si>
  <si>
    <t>60.0831</t>
  </si>
  <si>
    <t>60.0832</t>
  </si>
  <si>
    <t>60.0899</t>
  </si>
  <si>
    <t>60.0901</t>
  </si>
  <si>
    <t>60.0902</t>
  </si>
  <si>
    <t>60.0903</t>
  </si>
  <si>
    <t>60.0904</t>
  </si>
  <si>
    <t>60.0905</t>
  </si>
  <si>
    <t>60.0906</t>
  </si>
  <si>
    <t>60.0907</t>
  </si>
  <si>
    <t>60.0908</t>
  </si>
  <si>
    <t>60.0909</t>
  </si>
  <si>
    <t>60.0910</t>
  </si>
  <si>
    <t>60.0911</t>
  </si>
  <si>
    <t>60.0912</t>
  </si>
  <si>
    <t>60.0913</t>
  </si>
  <si>
    <t>60.0914</t>
  </si>
  <si>
    <t>60.0915</t>
  </si>
  <si>
    <t>60.0916</t>
  </si>
  <si>
    <t>60.0917</t>
  </si>
  <si>
    <t>60.0918</t>
  </si>
  <si>
    <t>60.0919</t>
  </si>
  <si>
    <t>60.0920</t>
  </si>
  <si>
    <t>60.0999</t>
  </si>
  <si>
    <t>60.9999</t>
  </si>
  <si>
    <t>61.0101</t>
  </si>
  <si>
    <t>61.0102</t>
  </si>
  <si>
    <t>61.0103</t>
  </si>
  <si>
    <t>61.0104</t>
  </si>
  <si>
    <t>61.0105</t>
  </si>
  <si>
    <t>61.0106</t>
  </si>
  <si>
    <t>61.0107</t>
  </si>
  <si>
    <t>61.0108</t>
  </si>
  <si>
    <t>61.0109</t>
  </si>
  <si>
    <t>61.0110</t>
  </si>
  <si>
    <t>61.0111</t>
  </si>
  <si>
    <t>61.0112</t>
  </si>
  <si>
    <t>61.0113</t>
  </si>
  <si>
    <t>61.0114</t>
  </si>
  <si>
    <t>61.0115</t>
  </si>
  <si>
    <t>61.0116</t>
  </si>
  <si>
    <t>61.0117</t>
  </si>
  <si>
    <t>61.0118</t>
  </si>
  <si>
    <t>61.0119</t>
  </si>
  <si>
    <t>61.0120</t>
  </si>
  <si>
    <t>61.0121</t>
  </si>
  <si>
    <t>61.0122</t>
  </si>
  <si>
    <t>61.0123</t>
  </si>
  <si>
    <t>61.0124</t>
  </si>
  <si>
    <t>61.0125</t>
  </si>
  <si>
    <t>61.0199</t>
  </si>
  <si>
    <t>61.0202</t>
  </si>
  <si>
    <t>61.0203</t>
  </si>
  <si>
    <t>61.0204</t>
  </si>
  <si>
    <t>61.0205</t>
  </si>
  <si>
    <t>61.0206</t>
  </si>
  <si>
    <t>61.0207</t>
  </si>
  <si>
    <t>61.0208</t>
  </si>
  <si>
    <t>61.0209</t>
  </si>
  <si>
    <t>61.0210</t>
  </si>
  <si>
    <t>61.0211</t>
  </si>
  <si>
    <t>61.0212</t>
  </si>
  <si>
    <t>61.0213</t>
  </si>
  <si>
    <t>61.0214</t>
  </si>
  <si>
    <t>61.0215</t>
  </si>
  <si>
    <t>61.0216</t>
  </si>
  <si>
    <t>61.0217</t>
  </si>
  <si>
    <t>61.0218</t>
  </si>
  <si>
    <t>61.0299</t>
  </si>
  <si>
    <t>61.0301</t>
  </si>
  <si>
    <t>61.0399</t>
  </si>
  <si>
    <t>61.0401</t>
  </si>
  <si>
    <t>61.0499</t>
  </si>
  <si>
    <t>61.0501</t>
  </si>
  <si>
    <t>61.0502</t>
  </si>
  <si>
    <t>61.0503</t>
  </si>
  <si>
    <t>61.0599</t>
  </si>
  <si>
    <t>61.0601</t>
  </si>
  <si>
    <t>61.0602</t>
  </si>
  <si>
    <t>61.0603</t>
  </si>
  <si>
    <t>61.0699</t>
  </si>
  <si>
    <t>61.0701</t>
  </si>
  <si>
    <t>61.0799</t>
  </si>
  <si>
    <t>61.0801</t>
  </si>
  <si>
    <t>61.0804</t>
  </si>
  <si>
    <t>61.0805</t>
  </si>
  <si>
    <t>61.0806</t>
  </si>
  <si>
    <t>61.0807</t>
  </si>
  <si>
    <t>61.0808</t>
  </si>
  <si>
    <t>61.0809</t>
  </si>
  <si>
    <t>61.0810</t>
  </si>
  <si>
    <t>61.0811</t>
  </si>
  <si>
    <t>61.0812</t>
  </si>
  <si>
    <t>61.0813</t>
  </si>
  <si>
    <t>61.0814</t>
  </si>
  <si>
    <t>61.0816</t>
  </si>
  <si>
    <t>61.0818</t>
  </si>
  <si>
    <t>61.0899</t>
  </si>
  <si>
    <t>61.0901</t>
  </si>
  <si>
    <t>61.0902</t>
  </si>
  <si>
    <t>61.0903</t>
  </si>
  <si>
    <t>61.0904</t>
  </si>
  <si>
    <t>61.0999</t>
  </si>
  <si>
    <t>61.1001</t>
  </si>
  <si>
    <t>61.1099</t>
  </si>
  <si>
    <t>61.1101</t>
  </si>
  <si>
    <t>61.1102</t>
  </si>
  <si>
    <t>61.1103</t>
  </si>
  <si>
    <t>61.1104</t>
  </si>
  <si>
    <t>61.1105</t>
  </si>
  <si>
    <t>61.1106</t>
  </si>
  <si>
    <t>61.1107</t>
  </si>
  <si>
    <t>61.1199</t>
  </si>
  <si>
    <t>61.1201</t>
  </si>
  <si>
    <t>61.1299</t>
  </si>
  <si>
    <t>61.1301</t>
  </si>
  <si>
    <t>61.1302</t>
  </si>
  <si>
    <t>61.1303</t>
  </si>
  <si>
    <t>61.1304</t>
  </si>
  <si>
    <t>61.1399</t>
  </si>
  <si>
    <t>61.1401</t>
  </si>
  <si>
    <t>61.1499</t>
  </si>
  <si>
    <t>61.1501</t>
  </si>
  <si>
    <t>61.1502</t>
  </si>
  <si>
    <t>61.1503</t>
  </si>
  <si>
    <t>61.1504</t>
  </si>
  <si>
    <t>61.1505</t>
  </si>
  <si>
    <t>61.1599</t>
  </si>
  <si>
    <t>61.1601</t>
  </si>
  <si>
    <t>61.1699</t>
  </si>
  <si>
    <t>61.1701</t>
  </si>
  <si>
    <t>61.1702</t>
  </si>
  <si>
    <t>61.1703</t>
  </si>
  <si>
    <t>61.1799</t>
  </si>
  <si>
    <t>61.1801</t>
  </si>
  <si>
    <t>61.1802</t>
  </si>
  <si>
    <t>61.1803</t>
  </si>
  <si>
    <t>61.1804</t>
  </si>
  <si>
    <t>61.1805</t>
  </si>
  <si>
    <t>61.1806</t>
  </si>
  <si>
    <t>61.1807</t>
  </si>
  <si>
    <t>61.1808</t>
  </si>
  <si>
    <t>61.1809</t>
  </si>
  <si>
    <t>61.1810</t>
  </si>
  <si>
    <t>61.1811</t>
  </si>
  <si>
    <t>61.1812</t>
  </si>
  <si>
    <t>61.1813</t>
  </si>
  <si>
    <t>61.1814</t>
  </si>
  <si>
    <t>61.1815</t>
  </si>
  <si>
    <t>61.1899</t>
  </si>
  <si>
    <t>61.1901</t>
  </si>
  <si>
    <t>61.1902</t>
  </si>
  <si>
    <t>61.1903</t>
  </si>
  <si>
    <t>61.1904</t>
  </si>
  <si>
    <t>61.1905</t>
  </si>
  <si>
    <t>61.1906</t>
  </si>
  <si>
    <t>61.1907</t>
  </si>
  <si>
    <t>61.1908</t>
  </si>
  <si>
    <t>61.1909</t>
  </si>
  <si>
    <t>61.1910</t>
  </si>
  <si>
    <t>61.1911</t>
  </si>
  <si>
    <t>61.1912</t>
  </si>
  <si>
    <t>61.1913</t>
  </si>
  <si>
    <t>61.1914</t>
  </si>
  <si>
    <t>61.1915</t>
  </si>
  <si>
    <t>61.1917</t>
  </si>
  <si>
    <t>61.1999</t>
  </si>
  <si>
    <t>61.2001</t>
  </si>
  <si>
    <t>61.2002</t>
  </si>
  <si>
    <t>61.2003</t>
  </si>
  <si>
    <t>61.2099</t>
  </si>
  <si>
    <t>61.2101</t>
  </si>
  <si>
    <t>61.2102</t>
  </si>
  <si>
    <t>61.2103</t>
  </si>
  <si>
    <t>61.2199</t>
  </si>
  <si>
    <t>61.2201</t>
  </si>
  <si>
    <t>61.2299</t>
  </si>
  <si>
    <t>61.2301</t>
  </si>
  <si>
    <t>61.2302</t>
  </si>
  <si>
    <t>61.2303</t>
  </si>
  <si>
    <t>61.2399</t>
  </si>
  <si>
    <t>61.2401</t>
  </si>
  <si>
    <t>61.2402</t>
  </si>
  <si>
    <t>61.2403</t>
  </si>
  <si>
    <t>61.2404</t>
  </si>
  <si>
    <t>61.2405</t>
  </si>
  <si>
    <t>61.2406</t>
  </si>
  <si>
    <t>61.2499</t>
  </si>
  <si>
    <t>61.2501</t>
  </si>
  <si>
    <t>61.2599</t>
  </si>
  <si>
    <t>61.2601</t>
  </si>
  <si>
    <t>61.2602</t>
  </si>
  <si>
    <t>61.2603</t>
  </si>
  <si>
    <t>61.2604</t>
  </si>
  <si>
    <t>61.2605</t>
  </si>
  <si>
    <t>61.2606</t>
  </si>
  <si>
    <t>61.2607</t>
  </si>
  <si>
    <t>61.2608</t>
  </si>
  <si>
    <t>61.2609</t>
  </si>
  <si>
    <t>61.2610</t>
  </si>
  <si>
    <t>61.2611</t>
  </si>
  <si>
    <t>61.2612</t>
  </si>
  <si>
    <t>61.2699</t>
  </si>
  <si>
    <t>61.2701</t>
  </si>
  <si>
    <t>61.2702</t>
  </si>
  <si>
    <t>61.2703</t>
  </si>
  <si>
    <t>61.2704</t>
  </si>
  <si>
    <t>61.2705</t>
  </si>
  <si>
    <t>61.2706</t>
  </si>
  <si>
    <t>61.2707</t>
  </si>
  <si>
    <t>61.2708</t>
  </si>
  <si>
    <t>61.2799</t>
  </si>
  <si>
    <t>61.2801</t>
  </si>
  <si>
    <t>61.2802</t>
  </si>
  <si>
    <t>61.2899</t>
  </si>
  <si>
    <t>61.9999</t>
  </si>
  <si>
    <t>CIP Code</t>
  </si>
  <si>
    <t>Title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</si>
</sst>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49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26"/>
  <sheetViews>
    <sheetView tabSelected="1" workbookViewId="0"/>
  </sheetViews>
  <sheetFormatPr defaultRowHeight="15" x14ac:dyDescent="0.25"/>
  <cols>
    <col min="1" max="1" width="9.140625" style="1"/>
    <col min="2" max="2" width="96.7109375" bestFit="1" customWidth="1"/>
  </cols>
  <sheetData>
    <row r="1" spans="1:2" x14ac:dyDescent="0.25">
      <c r="A1" s="1" t="s">
        <v>4984</v>
      </c>
      <c r="B1" t="s">
        <v>4985</v>
      </c>
    </row>
    <row r="2" spans="1:2" x14ac:dyDescent="0.25">
      <c r="A2" s="1" t="s">
        <v>2659</v>
      </c>
      <c r="B2" t="s">
        <v>10</v>
      </c>
    </row>
    <row r="3" spans="1:2" x14ac:dyDescent="0.25">
      <c r="A3" s="1" t="s">
        <v>2660</v>
      </c>
      <c r="B3" t="s">
        <v>13</v>
      </c>
    </row>
    <row r="4" spans="1:2" x14ac:dyDescent="0.25">
      <c r="A4" s="1" t="s">
        <v>2661</v>
      </c>
      <c r="B4" t="s">
        <v>14</v>
      </c>
    </row>
    <row r="5" spans="1:2" x14ac:dyDescent="0.25">
      <c r="A5" s="1" t="s">
        <v>2662</v>
      </c>
      <c r="B5" t="s">
        <v>15</v>
      </c>
    </row>
    <row r="6" spans="1:2" x14ac:dyDescent="0.25">
      <c r="A6" s="1" t="s">
        <v>2663</v>
      </c>
      <c r="B6" t="s">
        <v>16</v>
      </c>
    </row>
    <row r="7" spans="1:2" x14ac:dyDescent="0.25">
      <c r="A7" s="1" t="s">
        <v>2664</v>
      </c>
      <c r="B7" t="s">
        <v>17</v>
      </c>
    </row>
    <row r="8" spans="1:2" x14ac:dyDescent="0.25">
      <c r="A8" s="1" t="s">
        <v>2665</v>
      </c>
      <c r="B8" t="s">
        <v>19</v>
      </c>
    </row>
    <row r="9" spans="1:2" x14ac:dyDescent="0.25">
      <c r="A9" s="1" t="s">
        <v>2666</v>
      </c>
      <c r="B9" t="s">
        <v>20</v>
      </c>
    </row>
    <row r="10" spans="1:2" x14ac:dyDescent="0.25">
      <c r="A10" s="1" t="s">
        <v>2667</v>
      </c>
      <c r="B10" t="s">
        <v>22</v>
      </c>
    </row>
    <row r="11" spans="1:2" x14ac:dyDescent="0.25">
      <c r="A11" s="1" t="s">
        <v>2668</v>
      </c>
      <c r="B11" t="s">
        <v>23</v>
      </c>
    </row>
    <row r="12" spans="1:2" x14ac:dyDescent="0.25">
      <c r="A12" s="1" t="s">
        <v>2669</v>
      </c>
      <c r="B12" t="s">
        <v>25</v>
      </c>
    </row>
    <row r="13" spans="1:2" x14ac:dyDescent="0.25">
      <c r="A13" s="1" t="s">
        <v>2670</v>
      </c>
      <c r="B13" t="s">
        <v>27</v>
      </c>
    </row>
    <row r="14" spans="1:2" x14ac:dyDescent="0.25">
      <c r="A14" s="1" t="s">
        <v>2671</v>
      </c>
      <c r="B14" t="s">
        <v>28</v>
      </c>
    </row>
    <row r="15" spans="1:2" x14ac:dyDescent="0.25">
      <c r="A15" s="1" t="s">
        <v>2672</v>
      </c>
      <c r="B15" t="s">
        <v>30</v>
      </c>
    </row>
    <row r="16" spans="1:2" x14ac:dyDescent="0.25">
      <c r="A16" s="1" t="s">
        <v>2673</v>
      </c>
      <c r="B16" t="s">
        <v>31</v>
      </c>
    </row>
    <row r="17" spans="1:2" x14ac:dyDescent="0.25">
      <c r="A17" s="1" t="s">
        <v>2674</v>
      </c>
      <c r="B17" t="s">
        <v>32</v>
      </c>
    </row>
    <row r="18" spans="1:2" x14ac:dyDescent="0.25">
      <c r="A18" s="1" t="s">
        <v>2675</v>
      </c>
      <c r="B18" t="s">
        <v>33</v>
      </c>
    </row>
    <row r="19" spans="1:2" x14ac:dyDescent="0.25">
      <c r="A19" s="1" t="s">
        <v>2676</v>
      </c>
      <c r="B19" t="s">
        <v>34</v>
      </c>
    </row>
    <row r="20" spans="1:2" x14ac:dyDescent="0.25">
      <c r="A20" s="1" t="s">
        <v>2677</v>
      </c>
      <c r="B20" t="s">
        <v>35</v>
      </c>
    </row>
    <row r="21" spans="1:2" x14ac:dyDescent="0.25">
      <c r="A21" s="1" t="s">
        <v>2678</v>
      </c>
      <c r="B21" t="s">
        <v>36</v>
      </c>
    </row>
    <row r="22" spans="1:2" x14ac:dyDescent="0.25">
      <c r="A22" s="1" t="s">
        <v>2679</v>
      </c>
      <c r="B22" t="s">
        <v>37</v>
      </c>
    </row>
    <row r="23" spans="1:2" x14ac:dyDescent="0.25">
      <c r="A23" s="1" t="s">
        <v>2680</v>
      </c>
      <c r="B23" t="s">
        <v>39</v>
      </c>
    </row>
    <row r="24" spans="1:2" x14ac:dyDescent="0.25">
      <c r="A24" s="1" t="s">
        <v>2681</v>
      </c>
      <c r="B24" t="s">
        <v>40</v>
      </c>
    </row>
    <row r="25" spans="1:2" x14ac:dyDescent="0.25">
      <c r="A25" s="1" t="s">
        <v>2682</v>
      </c>
      <c r="B25" t="s">
        <v>41</v>
      </c>
    </row>
    <row r="26" spans="1:2" x14ac:dyDescent="0.25">
      <c r="A26" s="1" t="s">
        <v>2683</v>
      </c>
      <c r="B26" t="s">
        <v>42</v>
      </c>
    </row>
    <row r="27" spans="1:2" x14ac:dyDescent="0.25">
      <c r="A27" s="1" t="s">
        <v>2684</v>
      </c>
      <c r="B27" t="s">
        <v>44</v>
      </c>
    </row>
    <row r="28" spans="1:2" x14ac:dyDescent="0.25">
      <c r="A28" s="1" t="s">
        <v>2685</v>
      </c>
      <c r="B28" t="s">
        <v>45</v>
      </c>
    </row>
    <row r="29" spans="1:2" x14ac:dyDescent="0.25">
      <c r="A29" s="1" t="s">
        <v>2686</v>
      </c>
      <c r="B29" t="s">
        <v>46</v>
      </c>
    </row>
    <row r="30" spans="1:2" x14ac:dyDescent="0.25">
      <c r="A30" s="1" t="s">
        <v>2687</v>
      </c>
      <c r="B30" t="s">
        <v>47</v>
      </c>
    </row>
    <row r="31" spans="1:2" x14ac:dyDescent="0.25">
      <c r="A31" s="1" t="s">
        <v>2688</v>
      </c>
      <c r="B31" t="s">
        <v>48</v>
      </c>
    </row>
    <row r="32" spans="1:2" x14ac:dyDescent="0.25">
      <c r="A32" s="1" t="s">
        <v>2689</v>
      </c>
      <c r="B32" t="s">
        <v>49</v>
      </c>
    </row>
    <row r="33" spans="1:2" x14ac:dyDescent="0.25">
      <c r="A33" s="1" t="s">
        <v>2690</v>
      </c>
      <c r="B33" t="s">
        <v>51</v>
      </c>
    </row>
    <row r="34" spans="1:2" x14ac:dyDescent="0.25">
      <c r="A34" s="1" t="s">
        <v>2691</v>
      </c>
      <c r="B34" t="s">
        <v>52</v>
      </c>
    </row>
    <row r="35" spans="1:2" x14ac:dyDescent="0.25">
      <c r="A35" s="1" t="s">
        <v>2692</v>
      </c>
      <c r="B35" t="s">
        <v>53</v>
      </c>
    </row>
    <row r="36" spans="1:2" x14ac:dyDescent="0.25">
      <c r="A36" s="1" t="s">
        <v>2693</v>
      </c>
      <c r="B36" t="s">
        <v>54</v>
      </c>
    </row>
    <row r="37" spans="1:2" x14ac:dyDescent="0.25">
      <c r="A37" s="1" t="s">
        <v>2694</v>
      </c>
      <c r="B37" t="s">
        <v>55</v>
      </c>
    </row>
    <row r="38" spans="1:2" x14ac:dyDescent="0.25">
      <c r="A38" s="1" t="s">
        <v>2695</v>
      </c>
      <c r="B38" t="s">
        <v>56</v>
      </c>
    </row>
    <row r="39" spans="1:2" x14ac:dyDescent="0.25">
      <c r="A39" s="1" t="s">
        <v>2696</v>
      </c>
      <c r="B39" t="s">
        <v>57</v>
      </c>
    </row>
    <row r="40" spans="1:2" x14ac:dyDescent="0.25">
      <c r="A40" s="1" t="s">
        <v>2697</v>
      </c>
      <c r="B40" t="s">
        <v>58</v>
      </c>
    </row>
    <row r="41" spans="1:2" x14ac:dyDescent="0.25">
      <c r="A41" s="1" t="s">
        <v>2698</v>
      </c>
      <c r="B41" t="s">
        <v>59</v>
      </c>
    </row>
    <row r="42" spans="1:2" x14ac:dyDescent="0.25">
      <c r="A42" s="1" t="s">
        <v>2699</v>
      </c>
      <c r="B42" t="s">
        <v>42</v>
      </c>
    </row>
    <row r="43" spans="1:2" x14ac:dyDescent="0.25">
      <c r="A43" s="1" t="s">
        <v>2700</v>
      </c>
      <c r="B43" t="s">
        <v>60</v>
      </c>
    </row>
    <row r="44" spans="1:2" x14ac:dyDescent="0.25">
      <c r="A44" s="1" t="s">
        <v>2701</v>
      </c>
      <c r="B44" t="s">
        <v>61</v>
      </c>
    </row>
    <row r="45" spans="1:2" x14ac:dyDescent="0.25">
      <c r="A45" s="1" t="s">
        <v>2702</v>
      </c>
      <c r="B45" t="s">
        <v>63</v>
      </c>
    </row>
    <row r="46" spans="1:2" x14ac:dyDescent="0.25">
      <c r="A46" s="1" t="s">
        <v>2703</v>
      </c>
      <c r="B46" t="s">
        <v>64</v>
      </c>
    </row>
    <row r="47" spans="1:2" x14ac:dyDescent="0.25">
      <c r="A47" s="1" t="s">
        <v>2704</v>
      </c>
      <c r="B47" t="s">
        <v>65</v>
      </c>
    </row>
    <row r="48" spans="1:2" x14ac:dyDescent="0.25">
      <c r="A48" s="1" t="s">
        <v>2705</v>
      </c>
      <c r="B48" t="s">
        <v>67</v>
      </c>
    </row>
    <row r="49" spans="1:2" x14ac:dyDescent="0.25">
      <c r="A49" s="1" t="s">
        <v>2706</v>
      </c>
      <c r="B49" t="s">
        <v>68</v>
      </c>
    </row>
    <row r="50" spans="1:2" x14ac:dyDescent="0.25">
      <c r="A50" s="1" t="s">
        <v>2707</v>
      </c>
      <c r="B50" t="s">
        <v>69</v>
      </c>
    </row>
    <row r="51" spans="1:2" x14ac:dyDescent="0.25">
      <c r="A51" s="1" t="s">
        <v>2708</v>
      </c>
      <c r="B51" t="s">
        <v>70</v>
      </c>
    </row>
    <row r="52" spans="1:2" x14ac:dyDescent="0.25">
      <c r="A52" s="1" t="s">
        <v>2709</v>
      </c>
      <c r="B52" t="s">
        <v>71</v>
      </c>
    </row>
    <row r="53" spans="1:2" x14ac:dyDescent="0.25">
      <c r="A53" s="1" t="s">
        <v>2710</v>
      </c>
      <c r="B53" t="s">
        <v>72</v>
      </c>
    </row>
    <row r="54" spans="1:2" x14ac:dyDescent="0.25">
      <c r="A54" s="1" t="s">
        <v>2711</v>
      </c>
      <c r="B54" t="s">
        <v>73</v>
      </c>
    </row>
    <row r="55" spans="1:2" x14ac:dyDescent="0.25">
      <c r="A55" s="1" t="s">
        <v>2712</v>
      </c>
      <c r="B55" t="s">
        <v>74</v>
      </c>
    </row>
    <row r="56" spans="1:2" x14ac:dyDescent="0.25">
      <c r="A56" s="1" t="s">
        <v>2713</v>
      </c>
      <c r="B56" t="s">
        <v>76</v>
      </c>
    </row>
    <row r="57" spans="1:2" x14ac:dyDescent="0.25">
      <c r="A57" s="1" t="s">
        <v>2714</v>
      </c>
      <c r="B57" t="s">
        <v>77</v>
      </c>
    </row>
    <row r="58" spans="1:2" x14ac:dyDescent="0.25">
      <c r="A58" s="1" t="s">
        <v>2715</v>
      </c>
      <c r="B58" t="s">
        <v>78</v>
      </c>
    </row>
    <row r="59" spans="1:2" x14ac:dyDescent="0.25">
      <c r="A59" s="1" t="s">
        <v>2716</v>
      </c>
      <c r="B59" t="s">
        <v>37</v>
      </c>
    </row>
    <row r="60" spans="1:2" x14ac:dyDescent="0.25">
      <c r="A60" s="1" t="s">
        <v>2717</v>
      </c>
      <c r="B60" t="s">
        <v>79</v>
      </c>
    </row>
    <row r="61" spans="1:2" x14ac:dyDescent="0.25">
      <c r="A61" s="1" t="s">
        <v>2718</v>
      </c>
      <c r="B61" t="s">
        <v>80</v>
      </c>
    </row>
    <row r="62" spans="1:2" x14ac:dyDescent="0.25">
      <c r="A62" s="1" t="s">
        <v>2719</v>
      </c>
      <c r="B62" t="s">
        <v>82</v>
      </c>
    </row>
    <row r="63" spans="1:2" x14ac:dyDescent="0.25">
      <c r="A63" s="1" t="s">
        <v>2720</v>
      </c>
      <c r="B63" t="s">
        <v>83</v>
      </c>
    </row>
    <row r="64" spans="1:2" x14ac:dyDescent="0.25">
      <c r="A64" s="1" t="s">
        <v>2721</v>
      </c>
      <c r="B64" t="s">
        <v>84</v>
      </c>
    </row>
    <row r="65" spans="1:2" x14ac:dyDescent="0.25">
      <c r="A65" s="1" t="s">
        <v>2722</v>
      </c>
      <c r="B65" t="s">
        <v>85</v>
      </c>
    </row>
    <row r="66" spans="1:2" x14ac:dyDescent="0.25">
      <c r="A66" s="1" t="s">
        <v>2723</v>
      </c>
      <c r="B66" t="s">
        <v>86</v>
      </c>
    </row>
    <row r="67" spans="1:2" x14ac:dyDescent="0.25">
      <c r="A67" s="1" t="s">
        <v>2724</v>
      </c>
      <c r="B67" t="s">
        <v>87</v>
      </c>
    </row>
    <row r="68" spans="1:2" x14ac:dyDescent="0.25">
      <c r="A68" s="1" t="s">
        <v>2725</v>
      </c>
      <c r="B68" t="s">
        <v>42</v>
      </c>
    </row>
    <row r="69" spans="1:2" x14ac:dyDescent="0.25">
      <c r="A69" s="1" t="s">
        <v>2726</v>
      </c>
      <c r="B69" t="s">
        <v>88</v>
      </c>
    </row>
    <row r="70" spans="1:2" x14ac:dyDescent="0.25">
      <c r="A70" s="1" t="s">
        <v>2727</v>
      </c>
      <c r="B70" t="s">
        <v>90</v>
      </c>
    </row>
    <row r="71" spans="1:2" x14ac:dyDescent="0.25">
      <c r="A71" s="1" t="s">
        <v>2728</v>
      </c>
      <c r="B71" t="s">
        <v>91</v>
      </c>
    </row>
    <row r="72" spans="1:2" x14ac:dyDescent="0.25">
      <c r="A72" s="1" t="s">
        <v>2729</v>
      </c>
      <c r="B72" t="s">
        <v>92</v>
      </c>
    </row>
    <row r="73" spans="1:2" x14ac:dyDescent="0.25">
      <c r="A73" s="1" t="s">
        <v>2730</v>
      </c>
      <c r="B73" t="s">
        <v>93</v>
      </c>
    </row>
    <row r="74" spans="1:2" x14ac:dyDescent="0.25">
      <c r="A74" s="1" t="s">
        <v>2731</v>
      </c>
      <c r="B74" t="s">
        <v>1859</v>
      </c>
    </row>
    <row r="75" spans="1:2" x14ac:dyDescent="0.25">
      <c r="A75" s="1" t="s">
        <v>2732</v>
      </c>
      <c r="B75" t="s">
        <v>95</v>
      </c>
    </row>
    <row r="76" spans="1:2" x14ac:dyDescent="0.25">
      <c r="A76" s="1" t="s">
        <v>2733</v>
      </c>
      <c r="B76" t="s">
        <v>1949</v>
      </c>
    </row>
    <row r="77" spans="1:2" x14ac:dyDescent="0.25">
      <c r="A77" s="1" t="s">
        <v>2734</v>
      </c>
      <c r="B77" t="s">
        <v>1951</v>
      </c>
    </row>
    <row r="78" spans="1:2" x14ac:dyDescent="0.25">
      <c r="A78" s="1" t="s">
        <v>2735</v>
      </c>
      <c r="B78" t="s">
        <v>1959</v>
      </c>
    </row>
    <row r="79" spans="1:2" x14ac:dyDescent="0.25">
      <c r="A79" s="1" t="s">
        <v>2736</v>
      </c>
      <c r="B79" t="s">
        <v>1957</v>
      </c>
    </row>
    <row r="80" spans="1:2" x14ac:dyDescent="0.25">
      <c r="A80" s="1" t="s">
        <v>2737</v>
      </c>
      <c r="B80" t="s">
        <v>1958</v>
      </c>
    </row>
    <row r="81" spans="1:2" x14ac:dyDescent="0.25">
      <c r="A81" s="1" t="s">
        <v>2738</v>
      </c>
      <c r="B81" t="s">
        <v>1952</v>
      </c>
    </row>
    <row r="82" spans="1:2" x14ac:dyDescent="0.25">
      <c r="A82" s="1" t="s">
        <v>2739</v>
      </c>
      <c r="B82" t="s">
        <v>1961</v>
      </c>
    </row>
    <row r="83" spans="1:2" x14ac:dyDescent="0.25">
      <c r="A83" s="1" t="s">
        <v>2740</v>
      </c>
      <c r="B83" t="s">
        <v>1954</v>
      </c>
    </row>
    <row r="84" spans="1:2" x14ac:dyDescent="0.25">
      <c r="A84" s="1" t="s">
        <v>2741</v>
      </c>
      <c r="B84" t="s">
        <v>1955</v>
      </c>
    </row>
    <row r="85" spans="1:2" x14ac:dyDescent="0.25">
      <c r="A85" s="1" t="s">
        <v>2742</v>
      </c>
      <c r="B85" t="s">
        <v>1953</v>
      </c>
    </row>
    <row r="86" spans="1:2" x14ac:dyDescent="0.25">
      <c r="A86" s="1" t="s">
        <v>2743</v>
      </c>
      <c r="B86" t="s">
        <v>1960</v>
      </c>
    </row>
    <row r="87" spans="1:2" x14ac:dyDescent="0.25">
      <c r="A87" s="1" t="s">
        <v>2744</v>
      </c>
      <c r="B87" t="s">
        <v>1956</v>
      </c>
    </row>
    <row r="88" spans="1:2" x14ac:dyDescent="0.25">
      <c r="A88" s="1" t="s">
        <v>2745</v>
      </c>
      <c r="B88" t="s">
        <v>1962</v>
      </c>
    </row>
    <row r="89" spans="1:2" x14ac:dyDescent="0.25">
      <c r="A89" s="1" t="s">
        <v>2746</v>
      </c>
      <c r="B89" t="s">
        <v>97</v>
      </c>
    </row>
    <row r="90" spans="1:2" x14ac:dyDescent="0.25">
      <c r="A90" s="1" t="s">
        <v>2747</v>
      </c>
      <c r="B90" t="s">
        <v>98</v>
      </c>
    </row>
    <row r="91" spans="1:2" x14ac:dyDescent="0.25">
      <c r="A91" s="1" t="s">
        <v>2748</v>
      </c>
      <c r="B91" t="s">
        <v>99</v>
      </c>
    </row>
    <row r="92" spans="1:2" x14ac:dyDescent="0.25">
      <c r="A92" s="1" t="s">
        <v>2749</v>
      </c>
      <c r="B92" t="s">
        <v>100</v>
      </c>
    </row>
    <row r="93" spans="1:2" x14ac:dyDescent="0.25">
      <c r="A93" s="1" t="s">
        <v>2750</v>
      </c>
      <c r="B93" t="s">
        <v>101</v>
      </c>
    </row>
    <row r="94" spans="1:2" x14ac:dyDescent="0.25">
      <c r="A94" s="1" t="s">
        <v>2751</v>
      </c>
      <c r="B94" t="s">
        <v>1803</v>
      </c>
    </row>
    <row r="95" spans="1:2" x14ac:dyDescent="0.25">
      <c r="A95" s="1" t="s">
        <v>2752</v>
      </c>
      <c r="B95" t="s">
        <v>103</v>
      </c>
    </row>
    <row r="96" spans="1:2" x14ac:dyDescent="0.25">
      <c r="A96" s="1" t="s">
        <v>2753</v>
      </c>
      <c r="B96" t="s">
        <v>105</v>
      </c>
    </row>
    <row r="97" spans="1:2" x14ac:dyDescent="0.25">
      <c r="A97" s="1" t="s">
        <v>2754</v>
      </c>
      <c r="B97" t="s">
        <v>108</v>
      </c>
    </row>
    <row r="98" spans="1:2" x14ac:dyDescent="0.25">
      <c r="A98" s="1" t="s">
        <v>2755</v>
      </c>
      <c r="B98" t="s">
        <v>109</v>
      </c>
    </row>
    <row r="99" spans="1:2" x14ac:dyDescent="0.25">
      <c r="A99" s="1" t="s">
        <v>2756</v>
      </c>
      <c r="B99" t="s">
        <v>110</v>
      </c>
    </row>
    <row r="100" spans="1:2" x14ac:dyDescent="0.25">
      <c r="A100" s="1" t="s">
        <v>2757</v>
      </c>
      <c r="B100" t="s">
        <v>111</v>
      </c>
    </row>
    <row r="101" spans="1:2" x14ac:dyDescent="0.25">
      <c r="A101" s="1" t="s">
        <v>2758</v>
      </c>
      <c r="B101" t="s">
        <v>114</v>
      </c>
    </row>
    <row r="102" spans="1:2" x14ac:dyDescent="0.25">
      <c r="A102" s="1" t="s">
        <v>2759</v>
      </c>
      <c r="B102" t="s">
        <v>116</v>
      </c>
    </row>
    <row r="103" spans="1:2" x14ac:dyDescent="0.25">
      <c r="A103" s="1" t="s">
        <v>2760</v>
      </c>
      <c r="B103" t="s">
        <v>117</v>
      </c>
    </row>
    <row r="104" spans="1:2" x14ac:dyDescent="0.25">
      <c r="A104" s="1" t="s">
        <v>2761</v>
      </c>
      <c r="B104" t="s">
        <v>118</v>
      </c>
    </row>
    <row r="105" spans="1:2" x14ac:dyDescent="0.25">
      <c r="A105" s="1" t="s">
        <v>2762</v>
      </c>
      <c r="B105" t="s">
        <v>120</v>
      </c>
    </row>
    <row r="106" spans="1:2" x14ac:dyDescent="0.25">
      <c r="A106" s="1" t="s">
        <v>2763</v>
      </c>
      <c r="B106" t="s">
        <v>122</v>
      </c>
    </row>
    <row r="107" spans="1:2" x14ac:dyDescent="0.25">
      <c r="A107" s="1" t="s">
        <v>2764</v>
      </c>
      <c r="B107" t="s">
        <v>123</v>
      </c>
    </row>
    <row r="108" spans="1:2" x14ac:dyDescent="0.25">
      <c r="A108" s="1" t="s">
        <v>2765</v>
      </c>
      <c r="B108" t="s">
        <v>124</v>
      </c>
    </row>
    <row r="109" spans="1:2" x14ac:dyDescent="0.25">
      <c r="A109" s="1" t="s">
        <v>2766</v>
      </c>
      <c r="B109" t="s">
        <v>126</v>
      </c>
    </row>
    <row r="110" spans="1:2" x14ac:dyDescent="0.25">
      <c r="A110" s="1" t="s">
        <v>2767</v>
      </c>
      <c r="B110" t="s">
        <v>127</v>
      </c>
    </row>
    <row r="111" spans="1:2" x14ac:dyDescent="0.25">
      <c r="A111" s="1" t="s">
        <v>2768</v>
      </c>
      <c r="B111" t="s">
        <v>129</v>
      </c>
    </row>
    <row r="112" spans="1:2" x14ac:dyDescent="0.25">
      <c r="A112" s="1" t="s">
        <v>2769</v>
      </c>
      <c r="B112" t="s">
        <v>130</v>
      </c>
    </row>
    <row r="113" spans="1:2" x14ac:dyDescent="0.25">
      <c r="A113" s="1" t="s">
        <v>2770</v>
      </c>
      <c r="B113" t="s">
        <v>131</v>
      </c>
    </row>
    <row r="114" spans="1:2" x14ac:dyDescent="0.25">
      <c r="A114" s="1" t="s">
        <v>2771</v>
      </c>
      <c r="B114" t="s">
        <v>132</v>
      </c>
    </row>
    <row r="115" spans="1:2" x14ac:dyDescent="0.25">
      <c r="A115" s="1" t="s">
        <v>2772</v>
      </c>
      <c r="B115" t="s">
        <v>134</v>
      </c>
    </row>
    <row r="116" spans="1:2" x14ac:dyDescent="0.25">
      <c r="A116" s="1" t="s">
        <v>2773</v>
      </c>
      <c r="B116" t="s">
        <v>135</v>
      </c>
    </row>
    <row r="117" spans="1:2" x14ac:dyDescent="0.25">
      <c r="A117" s="1" t="s">
        <v>2774</v>
      </c>
      <c r="B117" t="s">
        <v>136</v>
      </c>
    </row>
    <row r="118" spans="1:2" x14ac:dyDescent="0.25">
      <c r="A118" s="1" t="s">
        <v>2775</v>
      </c>
      <c r="B118" t="s">
        <v>137</v>
      </c>
    </row>
    <row r="119" spans="1:2" x14ac:dyDescent="0.25">
      <c r="A119" s="1" t="s">
        <v>2776</v>
      </c>
      <c r="B119" t="s">
        <v>139</v>
      </c>
    </row>
    <row r="120" spans="1:2" x14ac:dyDescent="0.25">
      <c r="A120" s="1" t="s">
        <v>2777</v>
      </c>
      <c r="B120" t="s">
        <v>140</v>
      </c>
    </row>
    <row r="121" spans="1:2" x14ac:dyDescent="0.25">
      <c r="A121" s="1" t="s">
        <v>2778</v>
      </c>
      <c r="B121" t="s">
        <v>143</v>
      </c>
    </row>
    <row r="122" spans="1:2" x14ac:dyDescent="0.25">
      <c r="A122" s="1" t="s">
        <v>2779</v>
      </c>
      <c r="B122" t="s">
        <v>142</v>
      </c>
    </row>
    <row r="123" spans="1:2" x14ac:dyDescent="0.25">
      <c r="A123" s="1" t="s">
        <v>2780</v>
      </c>
      <c r="B123" t="s">
        <v>144</v>
      </c>
    </row>
    <row r="124" spans="1:2" x14ac:dyDescent="0.25">
      <c r="A124" s="1" t="s">
        <v>2781</v>
      </c>
      <c r="B124" t="s">
        <v>145</v>
      </c>
    </row>
    <row r="125" spans="1:2" x14ac:dyDescent="0.25">
      <c r="A125" s="1" t="s">
        <v>2782</v>
      </c>
      <c r="B125" t="s">
        <v>147</v>
      </c>
    </row>
    <row r="126" spans="1:2" x14ac:dyDescent="0.25">
      <c r="A126" s="1" t="s">
        <v>2783</v>
      </c>
      <c r="B126" t="s">
        <v>149</v>
      </c>
    </row>
    <row r="127" spans="1:2" x14ac:dyDescent="0.25">
      <c r="A127" s="1" t="s">
        <v>2784</v>
      </c>
      <c r="B127" t="s">
        <v>150</v>
      </c>
    </row>
    <row r="128" spans="1:2" x14ac:dyDescent="0.25">
      <c r="A128" s="1" t="s">
        <v>2785</v>
      </c>
      <c r="B128" t="s">
        <v>151</v>
      </c>
    </row>
    <row r="129" spans="1:2" x14ac:dyDescent="0.25">
      <c r="A129" s="1" t="s">
        <v>2786</v>
      </c>
      <c r="B129" t="s">
        <v>152</v>
      </c>
    </row>
    <row r="130" spans="1:2" x14ac:dyDescent="0.25">
      <c r="A130" s="1" t="s">
        <v>2787</v>
      </c>
      <c r="B130" t="s">
        <v>153</v>
      </c>
    </row>
    <row r="131" spans="1:2" x14ac:dyDescent="0.25">
      <c r="A131" s="1" t="s">
        <v>2788</v>
      </c>
      <c r="B131" t="s">
        <v>154</v>
      </c>
    </row>
    <row r="132" spans="1:2" x14ac:dyDescent="0.25">
      <c r="A132" s="1" t="s">
        <v>2789</v>
      </c>
      <c r="B132" t="s">
        <v>157</v>
      </c>
    </row>
    <row r="133" spans="1:2" x14ac:dyDescent="0.25">
      <c r="A133" s="1" t="s">
        <v>2790</v>
      </c>
      <c r="B133" t="s">
        <v>158</v>
      </c>
    </row>
    <row r="134" spans="1:2" x14ac:dyDescent="0.25">
      <c r="A134" s="1" t="s">
        <v>2791</v>
      </c>
      <c r="B134" t="s">
        <v>159</v>
      </c>
    </row>
    <row r="135" spans="1:2" x14ac:dyDescent="0.25">
      <c r="A135" s="1" t="s">
        <v>2792</v>
      </c>
      <c r="B135" t="s">
        <v>160</v>
      </c>
    </row>
    <row r="136" spans="1:2" x14ac:dyDescent="0.25">
      <c r="A136" s="1" t="s">
        <v>2793</v>
      </c>
      <c r="B136" t="s">
        <v>162</v>
      </c>
    </row>
    <row r="137" spans="1:2" x14ac:dyDescent="0.25">
      <c r="A137" s="1" t="s">
        <v>2794</v>
      </c>
      <c r="B137" t="s">
        <v>163</v>
      </c>
    </row>
    <row r="138" spans="1:2" x14ac:dyDescent="0.25">
      <c r="A138" s="1" t="s">
        <v>2795</v>
      </c>
      <c r="B138" t="s">
        <v>164</v>
      </c>
    </row>
    <row r="139" spans="1:2" x14ac:dyDescent="0.25">
      <c r="A139" s="1" t="s">
        <v>2796</v>
      </c>
      <c r="B139" t="s">
        <v>165</v>
      </c>
    </row>
    <row r="140" spans="1:2" x14ac:dyDescent="0.25">
      <c r="A140" s="1" t="s">
        <v>2797</v>
      </c>
      <c r="B140" t="s">
        <v>166</v>
      </c>
    </row>
    <row r="141" spans="1:2" x14ac:dyDescent="0.25">
      <c r="A141" s="1" t="s">
        <v>2798</v>
      </c>
      <c r="B141" t="s">
        <v>169</v>
      </c>
    </row>
    <row r="142" spans="1:2" x14ac:dyDescent="0.25">
      <c r="A142" s="1" t="s">
        <v>2799</v>
      </c>
      <c r="B142" t="s">
        <v>170</v>
      </c>
    </row>
    <row r="143" spans="1:2" x14ac:dyDescent="0.25">
      <c r="A143" s="1" t="s">
        <v>2800</v>
      </c>
      <c r="B143" t="s">
        <v>171</v>
      </c>
    </row>
    <row r="144" spans="1:2" x14ac:dyDescent="0.25">
      <c r="A144" s="1" t="s">
        <v>2801</v>
      </c>
      <c r="B144" t="s">
        <v>172</v>
      </c>
    </row>
    <row r="145" spans="1:2" x14ac:dyDescent="0.25">
      <c r="A145" s="1" t="s">
        <v>2802</v>
      </c>
      <c r="B145" t="s">
        <v>173</v>
      </c>
    </row>
    <row r="146" spans="1:2" x14ac:dyDescent="0.25">
      <c r="A146" s="1" t="s">
        <v>2803</v>
      </c>
      <c r="B146" t="s">
        <v>174</v>
      </c>
    </row>
    <row r="147" spans="1:2" x14ac:dyDescent="0.25">
      <c r="A147" s="1" t="s">
        <v>2804</v>
      </c>
      <c r="B147" t="s">
        <v>175</v>
      </c>
    </row>
    <row r="148" spans="1:2" x14ac:dyDescent="0.25">
      <c r="A148" s="1" t="s">
        <v>2805</v>
      </c>
      <c r="B148" t="s">
        <v>176</v>
      </c>
    </row>
    <row r="149" spans="1:2" x14ac:dyDescent="0.25">
      <c r="A149" s="1" t="s">
        <v>2806</v>
      </c>
      <c r="B149" t="s">
        <v>177</v>
      </c>
    </row>
    <row r="150" spans="1:2" x14ac:dyDescent="0.25">
      <c r="A150" s="1" t="s">
        <v>2807</v>
      </c>
      <c r="B150" t="s">
        <v>178</v>
      </c>
    </row>
    <row r="151" spans="1:2" x14ac:dyDescent="0.25">
      <c r="A151" s="1" t="s">
        <v>2808</v>
      </c>
      <c r="B151" t="s">
        <v>179</v>
      </c>
    </row>
    <row r="152" spans="1:2" x14ac:dyDescent="0.25">
      <c r="A152" s="1" t="s">
        <v>2809</v>
      </c>
      <c r="B152" t="s">
        <v>180</v>
      </c>
    </row>
    <row r="153" spans="1:2" x14ac:dyDescent="0.25">
      <c r="A153" s="1" t="s">
        <v>2810</v>
      </c>
      <c r="B153" t="s">
        <v>181</v>
      </c>
    </row>
    <row r="154" spans="1:2" x14ac:dyDescent="0.25">
      <c r="A154" s="1" t="s">
        <v>2811</v>
      </c>
      <c r="B154" t="s">
        <v>182</v>
      </c>
    </row>
    <row r="155" spans="1:2" x14ac:dyDescent="0.25">
      <c r="A155" s="1" t="s">
        <v>2812</v>
      </c>
      <c r="B155" t="s">
        <v>183</v>
      </c>
    </row>
    <row r="156" spans="1:2" x14ac:dyDescent="0.25">
      <c r="A156" s="1" t="s">
        <v>2813</v>
      </c>
      <c r="B156" t="s">
        <v>184</v>
      </c>
    </row>
    <row r="157" spans="1:2" x14ac:dyDescent="0.25">
      <c r="A157" s="1" t="s">
        <v>2814</v>
      </c>
      <c r="B157" t="s">
        <v>185</v>
      </c>
    </row>
    <row r="158" spans="1:2" x14ac:dyDescent="0.25">
      <c r="A158" s="1" t="s">
        <v>2815</v>
      </c>
      <c r="B158" t="s">
        <v>186</v>
      </c>
    </row>
    <row r="159" spans="1:2" x14ac:dyDescent="0.25">
      <c r="A159" s="1" t="s">
        <v>2816</v>
      </c>
      <c r="B159" t="s">
        <v>187</v>
      </c>
    </row>
    <row r="160" spans="1:2" x14ac:dyDescent="0.25">
      <c r="A160" s="1" t="s">
        <v>2817</v>
      </c>
      <c r="B160" t="s">
        <v>188</v>
      </c>
    </row>
    <row r="161" spans="1:2" x14ac:dyDescent="0.25">
      <c r="A161" s="1" t="s">
        <v>2818</v>
      </c>
      <c r="B161" t="s">
        <v>189</v>
      </c>
    </row>
    <row r="162" spans="1:2" x14ac:dyDescent="0.25">
      <c r="A162" s="1" t="s">
        <v>2819</v>
      </c>
      <c r="B162" t="s">
        <v>191</v>
      </c>
    </row>
    <row r="163" spans="1:2" x14ac:dyDescent="0.25">
      <c r="A163" s="1" t="s">
        <v>2820</v>
      </c>
      <c r="B163" t="s">
        <v>192</v>
      </c>
    </row>
    <row r="164" spans="1:2" x14ac:dyDescent="0.25">
      <c r="A164" s="1" t="s">
        <v>2821</v>
      </c>
      <c r="B164" t="s">
        <v>193</v>
      </c>
    </row>
    <row r="165" spans="1:2" x14ac:dyDescent="0.25">
      <c r="A165" s="1" t="s">
        <v>2822</v>
      </c>
      <c r="B165" t="s">
        <v>194</v>
      </c>
    </row>
    <row r="166" spans="1:2" x14ac:dyDescent="0.25">
      <c r="A166" s="1" t="s">
        <v>2823</v>
      </c>
      <c r="B166" t="s">
        <v>195</v>
      </c>
    </row>
    <row r="167" spans="1:2" x14ac:dyDescent="0.25">
      <c r="A167" s="1" t="s">
        <v>2824</v>
      </c>
      <c r="B167" t="s">
        <v>196</v>
      </c>
    </row>
    <row r="168" spans="1:2" x14ac:dyDescent="0.25">
      <c r="A168" s="1" t="s">
        <v>2825</v>
      </c>
      <c r="B168" t="s">
        <v>197</v>
      </c>
    </row>
    <row r="169" spans="1:2" x14ac:dyDescent="0.25">
      <c r="A169" s="1" t="s">
        <v>2826</v>
      </c>
      <c r="B169" t="s">
        <v>198</v>
      </c>
    </row>
    <row r="170" spans="1:2" x14ac:dyDescent="0.25">
      <c r="A170" s="1" t="s">
        <v>2827</v>
      </c>
      <c r="B170" t="s">
        <v>199</v>
      </c>
    </row>
    <row r="171" spans="1:2" x14ac:dyDescent="0.25">
      <c r="A171" s="1" t="s">
        <v>2828</v>
      </c>
      <c r="B171" t="s">
        <v>200</v>
      </c>
    </row>
    <row r="172" spans="1:2" x14ac:dyDescent="0.25">
      <c r="A172" s="1" t="s">
        <v>2829</v>
      </c>
      <c r="B172" t="s">
        <v>201</v>
      </c>
    </row>
    <row r="173" spans="1:2" x14ac:dyDescent="0.25">
      <c r="A173" s="1" t="s">
        <v>2830</v>
      </c>
      <c r="B173" t="s">
        <v>202</v>
      </c>
    </row>
    <row r="174" spans="1:2" x14ac:dyDescent="0.25">
      <c r="A174" s="1" t="s">
        <v>2831</v>
      </c>
      <c r="B174" t="s">
        <v>203</v>
      </c>
    </row>
    <row r="175" spans="1:2" x14ac:dyDescent="0.25">
      <c r="A175" s="1" t="s">
        <v>2832</v>
      </c>
      <c r="B175" t="s">
        <v>204</v>
      </c>
    </row>
    <row r="176" spans="1:2" x14ac:dyDescent="0.25">
      <c r="A176" s="1" t="s">
        <v>2833</v>
      </c>
      <c r="B176" t="s">
        <v>205</v>
      </c>
    </row>
    <row r="177" spans="1:2" x14ac:dyDescent="0.25">
      <c r="A177" s="1" t="s">
        <v>2834</v>
      </c>
      <c r="B177" t="s">
        <v>206</v>
      </c>
    </row>
    <row r="178" spans="1:2" x14ac:dyDescent="0.25">
      <c r="A178" s="1" t="s">
        <v>2835</v>
      </c>
      <c r="B178" t="s">
        <v>208</v>
      </c>
    </row>
    <row r="179" spans="1:2" x14ac:dyDescent="0.25">
      <c r="A179" s="1" t="s">
        <v>2836</v>
      </c>
      <c r="B179" t="s">
        <v>209</v>
      </c>
    </row>
    <row r="180" spans="1:2" x14ac:dyDescent="0.25">
      <c r="A180" s="1" t="s">
        <v>2837</v>
      </c>
      <c r="B180" t="s">
        <v>210</v>
      </c>
    </row>
    <row r="181" spans="1:2" x14ac:dyDescent="0.25">
      <c r="A181" s="1" t="s">
        <v>2838</v>
      </c>
      <c r="B181" t="s">
        <v>211</v>
      </c>
    </row>
    <row r="182" spans="1:2" x14ac:dyDescent="0.25">
      <c r="A182" s="1" t="s">
        <v>2839</v>
      </c>
      <c r="B182" t="s">
        <v>212</v>
      </c>
    </row>
    <row r="183" spans="1:2" x14ac:dyDescent="0.25">
      <c r="A183" s="1" t="s">
        <v>2840</v>
      </c>
      <c r="B183" t="s">
        <v>213</v>
      </c>
    </row>
    <row r="184" spans="1:2" x14ac:dyDescent="0.25">
      <c r="A184" s="1" t="s">
        <v>2841</v>
      </c>
      <c r="B184" t="s">
        <v>214</v>
      </c>
    </row>
    <row r="185" spans="1:2" x14ac:dyDescent="0.25">
      <c r="A185" s="1" t="s">
        <v>2842</v>
      </c>
      <c r="B185" t="s">
        <v>215</v>
      </c>
    </row>
    <row r="186" spans="1:2" x14ac:dyDescent="0.25">
      <c r="A186" s="1" t="s">
        <v>2843</v>
      </c>
      <c r="B186" t="s">
        <v>216</v>
      </c>
    </row>
    <row r="187" spans="1:2" x14ac:dyDescent="0.25">
      <c r="A187" s="1" t="s">
        <v>2844</v>
      </c>
      <c r="B187" t="s">
        <v>217</v>
      </c>
    </row>
    <row r="188" spans="1:2" x14ac:dyDescent="0.25">
      <c r="A188" s="1" t="s">
        <v>2845</v>
      </c>
      <c r="B188" t="s">
        <v>218</v>
      </c>
    </row>
    <row r="189" spans="1:2" x14ac:dyDescent="0.25">
      <c r="A189" s="1" t="s">
        <v>2846</v>
      </c>
      <c r="B189" t="s">
        <v>219</v>
      </c>
    </row>
    <row r="190" spans="1:2" x14ac:dyDescent="0.25">
      <c r="A190" s="1" t="s">
        <v>2847</v>
      </c>
      <c r="B190" t="s">
        <v>220</v>
      </c>
    </row>
    <row r="191" spans="1:2" x14ac:dyDescent="0.25">
      <c r="A191" s="1" t="s">
        <v>2848</v>
      </c>
      <c r="B191" t="s">
        <v>223</v>
      </c>
    </row>
    <row r="192" spans="1:2" x14ac:dyDescent="0.25">
      <c r="A192" s="1" t="s">
        <v>2849</v>
      </c>
      <c r="B192" t="s">
        <v>224</v>
      </c>
    </row>
    <row r="193" spans="1:2" x14ac:dyDescent="0.25">
      <c r="A193" s="1" t="s">
        <v>2850</v>
      </c>
      <c r="B193" t="s">
        <v>225</v>
      </c>
    </row>
    <row r="194" spans="1:2" x14ac:dyDescent="0.25">
      <c r="A194" s="1" t="s">
        <v>2851</v>
      </c>
      <c r="B194" t="s">
        <v>226</v>
      </c>
    </row>
    <row r="195" spans="1:2" x14ac:dyDescent="0.25">
      <c r="A195" s="1" t="s">
        <v>2852</v>
      </c>
      <c r="B195" t="s">
        <v>227</v>
      </c>
    </row>
    <row r="196" spans="1:2" x14ac:dyDescent="0.25">
      <c r="A196" s="1" t="s">
        <v>2853</v>
      </c>
      <c r="B196" t="s">
        <v>228</v>
      </c>
    </row>
    <row r="197" spans="1:2" x14ac:dyDescent="0.25">
      <c r="A197" s="1" t="s">
        <v>2854</v>
      </c>
      <c r="B197" t="s">
        <v>229</v>
      </c>
    </row>
    <row r="198" spans="1:2" x14ac:dyDescent="0.25">
      <c r="A198" s="1" t="s">
        <v>2855</v>
      </c>
      <c r="B198" t="s">
        <v>230</v>
      </c>
    </row>
    <row r="199" spans="1:2" x14ac:dyDescent="0.25">
      <c r="A199" s="1" t="s">
        <v>2856</v>
      </c>
      <c r="B199" t="s">
        <v>231</v>
      </c>
    </row>
    <row r="200" spans="1:2" x14ac:dyDescent="0.25">
      <c r="A200" s="1" t="s">
        <v>2857</v>
      </c>
      <c r="B200" t="s">
        <v>232</v>
      </c>
    </row>
    <row r="201" spans="1:2" x14ac:dyDescent="0.25">
      <c r="A201" s="1" t="s">
        <v>2858</v>
      </c>
      <c r="B201" t="s">
        <v>233</v>
      </c>
    </row>
    <row r="202" spans="1:2" x14ac:dyDescent="0.25">
      <c r="A202" s="1" t="s">
        <v>2859</v>
      </c>
      <c r="B202" t="s">
        <v>235</v>
      </c>
    </row>
    <row r="203" spans="1:2" x14ac:dyDescent="0.25">
      <c r="A203" s="1" t="s">
        <v>2860</v>
      </c>
      <c r="B203" t="s">
        <v>236</v>
      </c>
    </row>
    <row r="204" spans="1:2" x14ac:dyDescent="0.25">
      <c r="A204" s="1" t="s">
        <v>2861</v>
      </c>
      <c r="B204" t="s">
        <v>237</v>
      </c>
    </row>
    <row r="205" spans="1:2" x14ac:dyDescent="0.25">
      <c r="A205" s="1" t="s">
        <v>2862</v>
      </c>
      <c r="B205" t="s">
        <v>238</v>
      </c>
    </row>
    <row r="206" spans="1:2" x14ac:dyDescent="0.25">
      <c r="A206" s="1" t="s">
        <v>2863</v>
      </c>
      <c r="B206" t="s">
        <v>239</v>
      </c>
    </row>
    <row r="207" spans="1:2" x14ac:dyDescent="0.25">
      <c r="A207" s="1" t="s">
        <v>2864</v>
      </c>
      <c r="B207" t="s">
        <v>240</v>
      </c>
    </row>
    <row r="208" spans="1:2" x14ac:dyDescent="0.25">
      <c r="A208" s="1" t="s">
        <v>2865</v>
      </c>
      <c r="B208" t="s">
        <v>241</v>
      </c>
    </row>
    <row r="209" spans="1:2" x14ac:dyDescent="0.25">
      <c r="A209" s="1" t="s">
        <v>2866</v>
      </c>
      <c r="B209" t="s">
        <v>242</v>
      </c>
    </row>
    <row r="210" spans="1:2" x14ac:dyDescent="0.25">
      <c r="A210" s="1" t="s">
        <v>2867</v>
      </c>
      <c r="B210" t="s">
        <v>243</v>
      </c>
    </row>
    <row r="211" spans="1:2" x14ac:dyDescent="0.25">
      <c r="A211" s="1" t="s">
        <v>2868</v>
      </c>
      <c r="B211" t="s">
        <v>244</v>
      </c>
    </row>
    <row r="212" spans="1:2" x14ac:dyDescent="0.25">
      <c r="A212" s="1" t="s">
        <v>2869</v>
      </c>
      <c r="B212" t="s">
        <v>245</v>
      </c>
    </row>
    <row r="213" spans="1:2" x14ac:dyDescent="0.25">
      <c r="A213" s="1" t="s">
        <v>2870</v>
      </c>
      <c r="B213" t="s">
        <v>246</v>
      </c>
    </row>
    <row r="214" spans="1:2" x14ac:dyDescent="0.25">
      <c r="A214" s="1" t="s">
        <v>2871</v>
      </c>
      <c r="B214" t="s">
        <v>247</v>
      </c>
    </row>
    <row r="215" spans="1:2" x14ac:dyDescent="0.25">
      <c r="A215" s="1" t="s">
        <v>2872</v>
      </c>
      <c r="B215" t="s">
        <v>249</v>
      </c>
    </row>
    <row r="216" spans="1:2" x14ac:dyDescent="0.25">
      <c r="A216" s="1" t="s">
        <v>2873</v>
      </c>
      <c r="B216" t="s">
        <v>250</v>
      </c>
    </row>
    <row r="217" spans="1:2" x14ac:dyDescent="0.25">
      <c r="A217" s="1" t="s">
        <v>2874</v>
      </c>
      <c r="B217" t="s">
        <v>251</v>
      </c>
    </row>
    <row r="218" spans="1:2" x14ac:dyDescent="0.25">
      <c r="A218" s="1" t="s">
        <v>2875</v>
      </c>
      <c r="B218" t="s">
        <v>253</v>
      </c>
    </row>
    <row r="219" spans="1:2" x14ac:dyDescent="0.25">
      <c r="A219" s="1" t="s">
        <v>2876</v>
      </c>
      <c r="B219" t="s">
        <v>257</v>
      </c>
    </row>
    <row r="220" spans="1:2" x14ac:dyDescent="0.25">
      <c r="A220" s="1" t="s">
        <v>2877</v>
      </c>
      <c r="B220" t="s">
        <v>258</v>
      </c>
    </row>
    <row r="221" spans="1:2" x14ac:dyDescent="0.25">
      <c r="A221" s="1" t="s">
        <v>2878</v>
      </c>
      <c r="B221" t="s">
        <v>259</v>
      </c>
    </row>
    <row r="222" spans="1:2" x14ac:dyDescent="0.25">
      <c r="A222" s="1" t="s">
        <v>2879</v>
      </c>
      <c r="B222" t="s">
        <v>260</v>
      </c>
    </row>
    <row r="223" spans="1:2" x14ac:dyDescent="0.25">
      <c r="A223" s="1" t="s">
        <v>2880</v>
      </c>
      <c r="B223" t="s">
        <v>261</v>
      </c>
    </row>
    <row r="224" spans="1:2" x14ac:dyDescent="0.25">
      <c r="A224" s="1" t="s">
        <v>2881</v>
      </c>
      <c r="B224" t="s">
        <v>263</v>
      </c>
    </row>
    <row r="225" spans="1:2" x14ac:dyDescent="0.25">
      <c r="A225" s="1" t="s">
        <v>2882</v>
      </c>
      <c r="B225" t="s">
        <v>264</v>
      </c>
    </row>
    <row r="226" spans="1:2" x14ac:dyDescent="0.25">
      <c r="A226" s="1" t="s">
        <v>2883</v>
      </c>
      <c r="B226" t="s">
        <v>265</v>
      </c>
    </row>
    <row r="227" spans="1:2" x14ac:dyDescent="0.25">
      <c r="A227" s="1" t="s">
        <v>2884</v>
      </c>
      <c r="B227" t="s">
        <v>267</v>
      </c>
    </row>
    <row r="228" spans="1:2" x14ac:dyDescent="0.25">
      <c r="A228" s="1" t="s">
        <v>2885</v>
      </c>
      <c r="B228" t="s">
        <v>268</v>
      </c>
    </row>
    <row r="229" spans="1:2" x14ac:dyDescent="0.25">
      <c r="A229" s="1" t="s">
        <v>2886</v>
      </c>
      <c r="B229" t="s">
        <v>269</v>
      </c>
    </row>
    <row r="230" spans="1:2" x14ac:dyDescent="0.25">
      <c r="A230" s="1" t="s">
        <v>2887</v>
      </c>
      <c r="B230" t="s">
        <v>270</v>
      </c>
    </row>
    <row r="231" spans="1:2" x14ac:dyDescent="0.25">
      <c r="A231" s="1" t="s">
        <v>2888</v>
      </c>
      <c r="B231" t="s">
        <v>271</v>
      </c>
    </row>
    <row r="232" spans="1:2" x14ac:dyDescent="0.25">
      <c r="A232" s="1" t="s">
        <v>2889</v>
      </c>
      <c r="B232" t="s">
        <v>272</v>
      </c>
    </row>
    <row r="233" spans="1:2" x14ac:dyDescent="0.25">
      <c r="A233" s="1" t="s">
        <v>2890</v>
      </c>
      <c r="B233" t="s">
        <v>273</v>
      </c>
    </row>
    <row r="234" spans="1:2" x14ac:dyDescent="0.25">
      <c r="A234" s="1" t="s">
        <v>2891</v>
      </c>
      <c r="B234" t="s">
        <v>275</v>
      </c>
    </row>
    <row r="235" spans="1:2" x14ac:dyDescent="0.25">
      <c r="A235" s="1" t="s">
        <v>2892</v>
      </c>
      <c r="B235" t="s">
        <v>276</v>
      </c>
    </row>
    <row r="236" spans="1:2" x14ac:dyDescent="0.25">
      <c r="A236" s="1" t="s">
        <v>2893</v>
      </c>
      <c r="B236" t="s">
        <v>277</v>
      </c>
    </row>
    <row r="237" spans="1:2" x14ac:dyDescent="0.25">
      <c r="A237" s="1" t="s">
        <v>2894</v>
      </c>
      <c r="B237" t="s">
        <v>278</v>
      </c>
    </row>
    <row r="238" spans="1:2" x14ac:dyDescent="0.25">
      <c r="A238" s="1" t="s">
        <v>2895</v>
      </c>
      <c r="B238" t="s">
        <v>279</v>
      </c>
    </row>
    <row r="239" spans="1:2" x14ac:dyDescent="0.25">
      <c r="A239" s="1" t="s">
        <v>2896</v>
      </c>
      <c r="B239" t="s">
        <v>280</v>
      </c>
    </row>
    <row r="240" spans="1:2" x14ac:dyDescent="0.25">
      <c r="A240" s="1" t="s">
        <v>2897</v>
      </c>
      <c r="B240" t="s">
        <v>282</v>
      </c>
    </row>
    <row r="241" spans="1:2" x14ac:dyDescent="0.25">
      <c r="A241" s="1" t="s">
        <v>2898</v>
      </c>
      <c r="B241" t="s">
        <v>283</v>
      </c>
    </row>
    <row r="242" spans="1:2" x14ac:dyDescent="0.25">
      <c r="A242" s="1" t="s">
        <v>2899</v>
      </c>
      <c r="B242" t="s">
        <v>284</v>
      </c>
    </row>
    <row r="243" spans="1:2" x14ac:dyDescent="0.25">
      <c r="A243" s="1" t="s">
        <v>2900</v>
      </c>
      <c r="B243" t="s">
        <v>285</v>
      </c>
    </row>
    <row r="244" spans="1:2" x14ac:dyDescent="0.25">
      <c r="A244" s="1" t="s">
        <v>2901</v>
      </c>
      <c r="B244" t="s">
        <v>286</v>
      </c>
    </row>
    <row r="245" spans="1:2" x14ac:dyDescent="0.25">
      <c r="A245" s="1" t="s">
        <v>2902</v>
      </c>
      <c r="B245" t="s">
        <v>287</v>
      </c>
    </row>
    <row r="246" spans="1:2" x14ac:dyDescent="0.25">
      <c r="A246" s="1" t="s">
        <v>2903</v>
      </c>
      <c r="B246" t="s">
        <v>289</v>
      </c>
    </row>
    <row r="247" spans="1:2" x14ac:dyDescent="0.25">
      <c r="A247" s="1" t="s">
        <v>2904</v>
      </c>
      <c r="B247" t="s">
        <v>290</v>
      </c>
    </row>
    <row r="248" spans="1:2" x14ac:dyDescent="0.25">
      <c r="A248" s="1" t="s">
        <v>2905</v>
      </c>
      <c r="B248" t="s">
        <v>292</v>
      </c>
    </row>
    <row r="249" spans="1:2" x14ac:dyDescent="0.25">
      <c r="A249" s="1" t="s">
        <v>2906</v>
      </c>
      <c r="B249" t="s">
        <v>294</v>
      </c>
    </row>
    <row r="250" spans="1:2" x14ac:dyDescent="0.25">
      <c r="A250" s="1" t="s">
        <v>2907</v>
      </c>
      <c r="B250" t="s">
        <v>295</v>
      </c>
    </row>
    <row r="251" spans="1:2" x14ac:dyDescent="0.25">
      <c r="A251" s="1" t="s">
        <v>2908</v>
      </c>
      <c r="B251" t="s">
        <v>296</v>
      </c>
    </row>
    <row r="252" spans="1:2" x14ac:dyDescent="0.25">
      <c r="A252" s="1" t="s">
        <v>2909</v>
      </c>
      <c r="B252" t="s">
        <v>297</v>
      </c>
    </row>
    <row r="253" spans="1:2" x14ac:dyDescent="0.25">
      <c r="A253" s="1" t="s">
        <v>2910</v>
      </c>
      <c r="B253" t="s">
        <v>299</v>
      </c>
    </row>
    <row r="254" spans="1:2" x14ac:dyDescent="0.25">
      <c r="A254" s="1" t="s">
        <v>2911</v>
      </c>
      <c r="B254" t="s">
        <v>300</v>
      </c>
    </row>
    <row r="255" spans="1:2" x14ac:dyDescent="0.25">
      <c r="A255" s="1" t="s">
        <v>2912</v>
      </c>
      <c r="B255" t="s">
        <v>301</v>
      </c>
    </row>
    <row r="256" spans="1:2" x14ac:dyDescent="0.25">
      <c r="A256" s="1" t="s">
        <v>2913</v>
      </c>
      <c r="B256" t="s">
        <v>302</v>
      </c>
    </row>
    <row r="257" spans="1:2" x14ac:dyDescent="0.25">
      <c r="A257" s="1" t="s">
        <v>2914</v>
      </c>
      <c r="B257" t="s">
        <v>303</v>
      </c>
    </row>
    <row r="258" spans="1:2" x14ac:dyDescent="0.25">
      <c r="A258" s="1" t="s">
        <v>2915</v>
      </c>
      <c r="B258" t="s">
        <v>304</v>
      </c>
    </row>
    <row r="259" spans="1:2" x14ac:dyDescent="0.25">
      <c r="A259" s="1" t="s">
        <v>2916</v>
      </c>
      <c r="B259" t="s">
        <v>305</v>
      </c>
    </row>
    <row r="260" spans="1:2" x14ac:dyDescent="0.25">
      <c r="A260" s="1" t="s">
        <v>2917</v>
      </c>
      <c r="B260" t="s">
        <v>306</v>
      </c>
    </row>
    <row r="261" spans="1:2" x14ac:dyDescent="0.25">
      <c r="A261" s="1" t="s">
        <v>2918</v>
      </c>
      <c r="B261" t="s">
        <v>308</v>
      </c>
    </row>
    <row r="262" spans="1:2" x14ac:dyDescent="0.25">
      <c r="A262" s="1" t="s">
        <v>2919</v>
      </c>
      <c r="B262" t="s">
        <v>309</v>
      </c>
    </row>
    <row r="263" spans="1:2" x14ac:dyDescent="0.25">
      <c r="A263" s="1" t="s">
        <v>2920</v>
      </c>
      <c r="B263" t="s">
        <v>311</v>
      </c>
    </row>
    <row r="264" spans="1:2" x14ac:dyDescent="0.25">
      <c r="A264" s="1" t="s">
        <v>2921</v>
      </c>
      <c r="B264" t="s">
        <v>312</v>
      </c>
    </row>
    <row r="265" spans="1:2" x14ac:dyDescent="0.25">
      <c r="A265" s="1" t="s">
        <v>2922</v>
      </c>
      <c r="B265" t="s">
        <v>313</v>
      </c>
    </row>
    <row r="266" spans="1:2" x14ac:dyDescent="0.25">
      <c r="A266" s="1" t="s">
        <v>2923</v>
      </c>
      <c r="B266" t="s">
        <v>314</v>
      </c>
    </row>
    <row r="267" spans="1:2" x14ac:dyDescent="0.25">
      <c r="A267" s="1" t="s">
        <v>2924</v>
      </c>
      <c r="B267" t="s">
        <v>315</v>
      </c>
    </row>
    <row r="268" spans="1:2" x14ac:dyDescent="0.25">
      <c r="A268" s="1" t="s">
        <v>2925</v>
      </c>
      <c r="B268" t="s">
        <v>316</v>
      </c>
    </row>
    <row r="269" spans="1:2" x14ac:dyDescent="0.25">
      <c r="A269" s="1" t="s">
        <v>2926</v>
      </c>
      <c r="B269" t="s">
        <v>320</v>
      </c>
    </row>
    <row r="270" spans="1:2" x14ac:dyDescent="0.25">
      <c r="A270" s="1" t="s">
        <v>2927</v>
      </c>
      <c r="B270" t="s">
        <v>321</v>
      </c>
    </row>
    <row r="271" spans="1:2" x14ac:dyDescent="0.25">
      <c r="A271" s="1" t="s">
        <v>2928</v>
      </c>
      <c r="B271" t="s">
        <v>322</v>
      </c>
    </row>
    <row r="272" spans="1:2" x14ac:dyDescent="0.25">
      <c r="A272" s="1" t="s">
        <v>2929</v>
      </c>
      <c r="B272" t="s">
        <v>323</v>
      </c>
    </row>
    <row r="273" spans="1:2" x14ac:dyDescent="0.25">
      <c r="A273" s="1" t="s">
        <v>2930</v>
      </c>
      <c r="B273" t="s">
        <v>325</v>
      </c>
    </row>
    <row r="274" spans="1:2" x14ac:dyDescent="0.25">
      <c r="A274" s="1" t="s">
        <v>2931</v>
      </c>
      <c r="B274" t="s">
        <v>326</v>
      </c>
    </row>
    <row r="275" spans="1:2" x14ac:dyDescent="0.25">
      <c r="A275" s="1" t="s">
        <v>2932</v>
      </c>
      <c r="B275" t="s">
        <v>327</v>
      </c>
    </row>
    <row r="276" spans="1:2" x14ac:dyDescent="0.25">
      <c r="A276" s="1" t="s">
        <v>2933</v>
      </c>
      <c r="B276" t="s">
        <v>328</v>
      </c>
    </row>
    <row r="277" spans="1:2" x14ac:dyDescent="0.25">
      <c r="A277" s="1" t="s">
        <v>2934</v>
      </c>
      <c r="B277" t="s">
        <v>329</v>
      </c>
    </row>
    <row r="278" spans="1:2" x14ac:dyDescent="0.25">
      <c r="A278" s="1" t="s">
        <v>2935</v>
      </c>
      <c r="B278" t="s">
        <v>330</v>
      </c>
    </row>
    <row r="279" spans="1:2" x14ac:dyDescent="0.25">
      <c r="A279" s="1" t="s">
        <v>2936</v>
      </c>
      <c r="B279" t="s">
        <v>331</v>
      </c>
    </row>
    <row r="280" spans="1:2" x14ac:dyDescent="0.25">
      <c r="A280" s="1" t="s">
        <v>2937</v>
      </c>
      <c r="B280" t="s">
        <v>332</v>
      </c>
    </row>
    <row r="281" spans="1:2" x14ac:dyDescent="0.25">
      <c r="A281" s="1" t="s">
        <v>2938</v>
      </c>
      <c r="B281" t="s">
        <v>333</v>
      </c>
    </row>
    <row r="282" spans="1:2" x14ac:dyDescent="0.25">
      <c r="A282" s="1" t="s">
        <v>2939</v>
      </c>
      <c r="B282" t="s">
        <v>334</v>
      </c>
    </row>
    <row r="283" spans="1:2" x14ac:dyDescent="0.25">
      <c r="A283" s="1" t="s">
        <v>2940</v>
      </c>
      <c r="B283" t="s">
        <v>335</v>
      </c>
    </row>
    <row r="284" spans="1:2" x14ac:dyDescent="0.25">
      <c r="A284" s="1" t="s">
        <v>2941</v>
      </c>
      <c r="B284" t="s">
        <v>336</v>
      </c>
    </row>
    <row r="285" spans="1:2" x14ac:dyDescent="0.25">
      <c r="A285" s="1" t="s">
        <v>2942</v>
      </c>
      <c r="B285" t="s">
        <v>337</v>
      </c>
    </row>
    <row r="286" spans="1:2" x14ac:dyDescent="0.25">
      <c r="A286" s="1" t="s">
        <v>2943</v>
      </c>
      <c r="B286" t="s">
        <v>339</v>
      </c>
    </row>
    <row r="287" spans="1:2" x14ac:dyDescent="0.25">
      <c r="A287" s="1" t="s">
        <v>2944</v>
      </c>
      <c r="B287" t="s">
        <v>340</v>
      </c>
    </row>
    <row r="288" spans="1:2" x14ac:dyDescent="0.25">
      <c r="A288" s="1" t="s">
        <v>2945</v>
      </c>
      <c r="B288" t="s">
        <v>341</v>
      </c>
    </row>
    <row r="289" spans="1:2" x14ac:dyDescent="0.25">
      <c r="A289" s="1" t="s">
        <v>2946</v>
      </c>
      <c r="B289" t="s">
        <v>342</v>
      </c>
    </row>
    <row r="290" spans="1:2" x14ac:dyDescent="0.25">
      <c r="A290" s="1" t="s">
        <v>2947</v>
      </c>
      <c r="B290" t="s">
        <v>343</v>
      </c>
    </row>
    <row r="291" spans="1:2" x14ac:dyDescent="0.25">
      <c r="A291" s="1" t="s">
        <v>2948</v>
      </c>
      <c r="B291" t="s">
        <v>344</v>
      </c>
    </row>
    <row r="292" spans="1:2" x14ac:dyDescent="0.25">
      <c r="A292" s="1" t="s">
        <v>2949</v>
      </c>
      <c r="B292" t="s">
        <v>345</v>
      </c>
    </row>
    <row r="293" spans="1:2" x14ac:dyDescent="0.25">
      <c r="A293" s="1" t="s">
        <v>2950</v>
      </c>
      <c r="B293" t="s">
        <v>346</v>
      </c>
    </row>
    <row r="294" spans="1:2" x14ac:dyDescent="0.25">
      <c r="A294" s="1" t="s">
        <v>2951</v>
      </c>
      <c r="B294" t="s">
        <v>347</v>
      </c>
    </row>
    <row r="295" spans="1:2" x14ac:dyDescent="0.25">
      <c r="A295" s="1" t="s">
        <v>2952</v>
      </c>
      <c r="B295" t="s">
        <v>348</v>
      </c>
    </row>
    <row r="296" spans="1:2" x14ac:dyDescent="0.25">
      <c r="A296" s="1" t="s">
        <v>2953</v>
      </c>
      <c r="B296" t="s">
        <v>349</v>
      </c>
    </row>
    <row r="297" spans="1:2" x14ac:dyDescent="0.25">
      <c r="A297" s="1" t="s">
        <v>2954</v>
      </c>
      <c r="B297" t="s">
        <v>42</v>
      </c>
    </row>
    <row r="298" spans="1:2" x14ac:dyDescent="0.25">
      <c r="A298" s="1" t="s">
        <v>2955</v>
      </c>
      <c r="B298" t="s">
        <v>350</v>
      </c>
    </row>
    <row r="299" spans="1:2" x14ac:dyDescent="0.25">
      <c r="A299" s="1" t="s">
        <v>2956</v>
      </c>
      <c r="B299" t="s">
        <v>352</v>
      </c>
    </row>
    <row r="300" spans="1:2" x14ac:dyDescent="0.25">
      <c r="A300" s="1" t="s">
        <v>2957</v>
      </c>
      <c r="B300" t="s">
        <v>353</v>
      </c>
    </row>
    <row r="301" spans="1:2" x14ac:dyDescent="0.25">
      <c r="A301" s="1" t="s">
        <v>2958</v>
      </c>
      <c r="B301" t="s">
        <v>354</v>
      </c>
    </row>
    <row r="302" spans="1:2" x14ac:dyDescent="0.25">
      <c r="A302" s="1" t="s">
        <v>2959</v>
      </c>
      <c r="B302" t="s">
        <v>356</v>
      </c>
    </row>
    <row r="303" spans="1:2" x14ac:dyDescent="0.25">
      <c r="A303" s="1" t="s">
        <v>2960</v>
      </c>
      <c r="B303" t="s">
        <v>358</v>
      </c>
    </row>
    <row r="304" spans="1:2" x14ac:dyDescent="0.25">
      <c r="A304" s="1" t="s">
        <v>2961</v>
      </c>
      <c r="B304" t="s">
        <v>360</v>
      </c>
    </row>
    <row r="305" spans="1:2" x14ac:dyDescent="0.25">
      <c r="A305" s="1" t="s">
        <v>2962</v>
      </c>
      <c r="B305" t="s">
        <v>361</v>
      </c>
    </row>
    <row r="306" spans="1:2" x14ac:dyDescent="0.25">
      <c r="A306" s="1" t="s">
        <v>2963</v>
      </c>
      <c r="B306" t="s">
        <v>362</v>
      </c>
    </row>
    <row r="307" spans="1:2" x14ac:dyDescent="0.25">
      <c r="A307" s="1" t="s">
        <v>2964</v>
      </c>
      <c r="B307" t="s">
        <v>363</v>
      </c>
    </row>
    <row r="308" spans="1:2" x14ac:dyDescent="0.25">
      <c r="A308" s="1" t="s">
        <v>2965</v>
      </c>
      <c r="B308" t="s">
        <v>364</v>
      </c>
    </row>
    <row r="309" spans="1:2" x14ac:dyDescent="0.25">
      <c r="A309" s="1" t="s">
        <v>2966</v>
      </c>
      <c r="B309" t="s">
        <v>366</v>
      </c>
    </row>
    <row r="310" spans="1:2" x14ac:dyDescent="0.25">
      <c r="A310" s="1" t="s">
        <v>2967</v>
      </c>
      <c r="B310" t="s">
        <v>367</v>
      </c>
    </row>
    <row r="311" spans="1:2" x14ac:dyDescent="0.25">
      <c r="A311" s="1" t="s">
        <v>2968</v>
      </c>
      <c r="B311" t="s">
        <v>368</v>
      </c>
    </row>
    <row r="312" spans="1:2" x14ac:dyDescent="0.25">
      <c r="A312" s="1" t="s">
        <v>2969</v>
      </c>
      <c r="B312" t="s">
        <v>369</v>
      </c>
    </row>
    <row r="313" spans="1:2" x14ac:dyDescent="0.25">
      <c r="A313" s="1" t="s">
        <v>2970</v>
      </c>
      <c r="B313" t="s">
        <v>370</v>
      </c>
    </row>
    <row r="314" spans="1:2" x14ac:dyDescent="0.25">
      <c r="A314" s="1" t="s">
        <v>2971</v>
      </c>
      <c r="B314" t="s">
        <v>372</v>
      </c>
    </row>
    <row r="315" spans="1:2" x14ac:dyDescent="0.25">
      <c r="A315" s="1" t="s">
        <v>2972</v>
      </c>
      <c r="B315" t="s">
        <v>373</v>
      </c>
    </row>
    <row r="316" spans="1:2" x14ac:dyDescent="0.25">
      <c r="A316" s="1" t="s">
        <v>2973</v>
      </c>
      <c r="B316" t="s">
        <v>374</v>
      </c>
    </row>
    <row r="317" spans="1:2" x14ac:dyDescent="0.25">
      <c r="A317" s="1" t="s">
        <v>2974</v>
      </c>
      <c r="B317" t="s">
        <v>375</v>
      </c>
    </row>
    <row r="318" spans="1:2" x14ac:dyDescent="0.25">
      <c r="A318" s="1" t="s">
        <v>2975</v>
      </c>
      <c r="B318" t="s">
        <v>376</v>
      </c>
    </row>
    <row r="319" spans="1:2" x14ac:dyDescent="0.25">
      <c r="A319" s="1" t="s">
        <v>2976</v>
      </c>
      <c r="B319" t="s">
        <v>377</v>
      </c>
    </row>
    <row r="320" spans="1:2" x14ac:dyDescent="0.25">
      <c r="A320" s="1" t="s">
        <v>2977</v>
      </c>
      <c r="B320" t="s">
        <v>378</v>
      </c>
    </row>
    <row r="321" spans="1:2" x14ac:dyDescent="0.25">
      <c r="A321" s="1" t="s">
        <v>2978</v>
      </c>
      <c r="B321" t="s">
        <v>379</v>
      </c>
    </row>
    <row r="322" spans="1:2" x14ac:dyDescent="0.25">
      <c r="A322" s="1" t="s">
        <v>2979</v>
      </c>
      <c r="B322" t="s">
        <v>380</v>
      </c>
    </row>
    <row r="323" spans="1:2" x14ac:dyDescent="0.25">
      <c r="A323" s="1" t="s">
        <v>2980</v>
      </c>
      <c r="B323" t="s">
        <v>382</v>
      </c>
    </row>
    <row r="324" spans="1:2" x14ac:dyDescent="0.25">
      <c r="A324" s="1" t="s">
        <v>2981</v>
      </c>
      <c r="B324" t="s">
        <v>384</v>
      </c>
    </row>
    <row r="325" spans="1:2" x14ac:dyDescent="0.25">
      <c r="A325" s="1" t="s">
        <v>2982</v>
      </c>
      <c r="B325" t="s">
        <v>385</v>
      </c>
    </row>
    <row r="326" spans="1:2" x14ac:dyDescent="0.25">
      <c r="A326" s="1" t="s">
        <v>2983</v>
      </c>
      <c r="B326" t="s">
        <v>386</v>
      </c>
    </row>
    <row r="327" spans="1:2" x14ac:dyDescent="0.25">
      <c r="A327" s="1" t="s">
        <v>2984</v>
      </c>
      <c r="B327" t="s">
        <v>387</v>
      </c>
    </row>
    <row r="328" spans="1:2" x14ac:dyDescent="0.25">
      <c r="A328" s="1" t="s">
        <v>2985</v>
      </c>
      <c r="B328" t="s">
        <v>388</v>
      </c>
    </row>
    <row r="329" spans="1:2" x14ac:dyDescent="0.25">
      <c r="A329" s="1" t="s">
        <v>2986</v>
      </c>
      <c r="B329" t="s">
        <v>389</v>
      </c>
    </row>
    <row r="330" spans="1:2" x14ac:dyDescent="0.25">
      <c r="A330" s="1" t="s">
        <v>2987</v>
      </c>
      <c r="B330" t="s">
        <v>390</v>
      </c>
    </row>
    <row r="331" spans="1:2" x14ac:dyDescent="0.25">
      <c r="A331" s="1" t="s">
        <v>2988</v>
      </c>
      <c r="B331" t="s">
        <v>391</v>
      </c>
    </row>
    <row r="332" spans="1:2" x14ac:dyDescent="0.25">
      <c r="A332" s="1" t="s">
        <v>2989</v>
      </c>
      <c r="B332" t="s">
        <v>393</v>
      </c>
    </row>
    <row r="333" spans="1:2" x14ac:dyDescent="0.25">
      <c r="A333" s="1" t="s">
        <v>2990</v>
      </c>
      <c r="B333" t="s">
        <v>394</v>
      </c>
    </row>
    <row r="334" spans="1:2" x14ac:dyDescent="0.25">
      <c r="A334" s="1" t="s">
        <v>2991</v>
      </c>
      <c r="B334" t="s">
        <v>395</v>
      </c>
    </row>
    <row r="335" spans="1:2" x14ac:dyDescent="0.25">
      <c r="A335" s="1" t="s">
        <v>2992</v>
      </c>
      <c r="B335" t="s">
        <v>396</v>
      </c>
    </row>
    <row r="336" spans="1:2" x14ac:dyDescent="0.25">
      <c r="A336" s="1" t="s">
        <v>2993</v>
      </c>
      <c r="B336" t="s">
        <v>398</v>
      </c>
    </row>
    <row r="337" spans="1:2" x14ac:dyDescent="0.25">
      <c r="A337" s="1" t="s">
        <v>2994</v>
      </c>
      <c r="B337" t="s">
        <v>399</v>
      </c>
    </row>
    <row r="338" spans="1:2" x14ac:dyDescent="0.25">
      <c r="A338" s="1" t="s">
        <v>2995</v>
      </c>
      <c r="B338" t="s">
        <v>400</v>
      </c>
    </row>
    <row r="339" spans="1:2" x14ac:dyDescent="0.25">
      <c r="A339" s="1" t="s">
        <v>2996</v>
      </c>
      <c r="B339" t="s">
        <v>401</v>
      </c>
    </row>
    <row r="340" spans="1:2" x14ac:dyDescent="0.25">
      <c r="A340" s="1" t="s">
        <v>2997</v>
      </c>
      <c r="B340" t="s">
        <v>402</v>
      </c>
    </row>
    <row r="341" spans="1:2" x14ac:dyDescent="0.25">
      <c r="A341" s="1" t="s">
        <v>2998</v>
      </c>
      <c r="B341" t="s">
        <v>403</v>
      </c>
    </row>
    <row r="342" spans="1:2" x14ac:dyDescent="0.25">
      <c r="A342" s="1" t="s">
        <v>2999</v>
      </c>
      <c r="B342" t="s">
        <v>404</v>
      </c>
    </row>
    <row r="343" spans="1:2" x14ac:dyDescent="0.25">
      <c r="A343" s="1" t="s">
        <v>3000</v>
      </c>
      <c r="B343" t="s">
        <v>405</v>
      </c>
    </row>
    <row r="344" spans="1:2" x14ac:dyDescent="0.25">
      <c r="A344" s="1" t="s">
        <v>3001</v>
      </c>
      <c r="B344" t="s">
        <v>406</v>
      </c>
    </row>
    <row r="345" spans="1:2" x14ac:dyDescent="0.25">
      <c r="A345" s="1" t="s">
        <v>3002</v>
      </c>
      <c r="B345" t="s">
        <v>407</v>
      </c>
    </row>
    <row r="346" spans="1:2" x14ac:dyDescent="0.25">
      <c r="A346" s="1" t="s">
        <v>3003</v>
      </c>
      <c r="B346" t="s">
        <v>408</v>
      </c>
    </row>
    <row r="347" spans="1:2" x14ac:dyDescent="0.25">
      <c r="A347" s="1" t="s">
        <v>3004</v>
      </c>
      <c r="B347" t="s">
        <v>409</v>
      </c>
    </row>
    <row r="348" spans="1:2" x14ac:dyDescent="0.25">
      <c r="A348" s="1" t="s">
        <v>3005</v>
      </c>
      <c r="B348" t="s">
        <v>410</v>
      </c>
    </row>
    <row r="349" spans="1:2" x14ac:dyDescent="0.25">
      <c r="A349" s="1" t="s">
        <v>3006</v>
      </c>
      <c r="B349" t="s">
        <v>411</v>
      </c>
    </row>
    <row r="350" spans="1:2" x14ac:dyDescent="0.25">
      <c r="A350" s="1" t="s">
        <v>3007</v>
      </c>
      <c r="B350" t="s">
        <v>413</v>
      </c>
    </row>
    <row r="351" spans="1:2" x14ac:dyDescent="0.25">
      <c r="A351" s="1" t="s">
        <v>3008</v>
      </c>
      <c r="B351" t="s">
        <v>414</v>
      </c>
    </row>
    <row r="352" spans="1:2" x14ac:dyDescent="0.25">
      <c r="A352" s="1" t="s">
        <v>3009</v>
      </c>
      <c r="B352" t="s">
        <v>415</v>
      </c>
    </row>
    <row r="353" spans="1:2" x14ac:dyDescent="0.25">
      <c r="A353" s="1" t="s">
        <v>3010</v>
      </c>
      <c r="B353" t="s">
        <v>417</v>
      </c>
    </row>
    <row r="354" spans="1:2" x14ac:dyDescent="0.25">
      <c r="A354" s="1" t="s">
        <v>3011</v>
      </c>
      <c r="B354" t="s">
        <v>418</v>
      </c>
    </row>
    <row r="355" spans="1:2" x14ac:dyDescent="0.25">
      <c r="A355" s="1" t="s">
        <v>3012</v>
      </c>
      <c r="B355" t="s">
        <v>419</v>
      </c>
    </row>
    <row r="356" spans="1:2" x14ac:dyDescent="0.25">
      <c r="A356" s="1" t="s">
        <v>3013</v>
      </c>
      <c r="B356" t="s">
        <v>420</v>
      </c>
    </row>
    <row r="357" spans="1:2" x14ac:dyDescent="0.25">
      <c r="A357" s="1" t="s">
        <v>3014</v>
      </c>
      <c r="B357" t="s">
        <v>421</v>
      </c>
    </row>
    <row r="358" spans="1:2" x14ac:dyDescent="0.25">
      <c r="A358" s="1" t="s">
        <v>3015</v>
      </c>
      <c r="B358" t="s">
        <v>422</v>
      </c>
    </row>
    <row r="359" spans="1:2" x14ac:dyDescent="0.25">
      <c r="A359" s="1" t="s">
        <v>3016</v>
      </c>
      <c r="B359" t="s">
        <v>423</v>
      </c>
    </row>
    <row r="360" spans="1:2" x14ac:dyDescent="0.25">
      <c r="A360" s="1" t="s">
        <v>3017</v>
      </c>
      <c r="B360" t="s">
        <v>424</v>
      </c>
    </row>
    <row r="361" spans="1:2" x14ac:dyDescent="0.25">
      <c r="A361" s="1" t="s">
        <v>3018</v>
      </c>
      <c r="B361" t="s">
        <v>425</v>
      </c>
    </row>
    <row r="362" spans="1:2" x14ac:dyDescent="0.25">
      <c r="A362" s="1" t="s">
        <v>3019</v>
      </c>
      <c r="B362" t="s">
        <v>426</v>
      </c>
    </row>
    <row r="363" spans="1:2" x14ac:dyDescent="0.25">
      <c r="A363" s="1" t="s">
        <v>3020</v>
      </c>
      <c r="B363" t="s">
        <v>427</v>
      </c>
    </row>
    <row r="364" spans="1:2" x14ac:dyDescent="0.25">
      <c r="A364" s="1" t="s">
        <v>3021</v>
      </c>
      <c r="B364" t="s">
        <v>428</v>
      </c>
    </row>
    <row r="365" spans="1:2" x14ac:dyDescent="0.25">
      <c r="A365" s="1" t="s">
        <v>3022</v>
      </c>
      <c r="B365" t="s">
        <v>429</v>
      </c>
    </row>
    <row r="366" spans="1:2" x14ac:dyDescent="0.25">
      <c r="A366" s="1" t="s">
        <v>3023</v>
      </c>
      <c r="B366" t="s">
        <v>430</v>
      </c>
    </row>
    <row r="367" spans="1:2" x14ac:dyDescent="0.25">
      <c r="A367" s="1" t="s">
        <v>3024</v>
      </c>
      <c r="B367" t="s">
        <v>432</v>
      </c>
    </row>
    <row r="368" spans="1:2" x14ac:dyDescent="0.25">
      <c r="A368" s="1" t="s">
        <v>3025</v>
      </c>
      <c r="B368" t="s">
        <v>433</v>
      </c>
    </row>
    <row r="369" spans="1:2" x14ac:dyDescent="0.25">
      <c r="A369" s="1" t="s">
        <v>3026</v>
      </c>
      <c r="B369" t="s">
        <v>435</v>
      </c>
    </row>
    <row r="370" spans="1:2" x14ac:dyDescent="0.25">
      <c r="A370" s="1" t="s">
        <v>3027</v>
      </c>
      <c r="B370" t="s">
        <v>436</v>
      </c>
    </row>
    <row r="371" spans="1:2" x14ac:dyDescent="0.25">
      <c r="A371" s="1" t="s">
        <v>3028</v>
      </c>
      <c r="B371" t="s">
        <v>437</v>
      </c>
    </row>
    <row r="372" spans="1:2" x14ac:dyDescent="0.25">
      <c r="A372" s="1" t="s">
        <v>3029</v>
      </c>
      <c r="B372" t="s">
        <v>438</v>
      </c>
    </row>
    <row r="373" spans="1:2" x14ac:dyDescent="0.25">
      <c r="A373" s="1" t="s">
        <v>3030</v>
      </c>
      <c r="B373" t="s">
        <v>439</v>
      </c>
    </row>
    <row r="374" spans="1:2" x14ac:dyDescent="0.25">
      <c r="A374" s="1" t="s">
        <v>3031</v>
      </c>
      <c r="B374" t="s">
        <v>440</v>
      </c>
    </row>
    <row r="375" spans="1:2" x14ac:dyDescent="0.25">
      <c r="A375" s="1" t="s">
        <v>3032</v>
      </c>
      <c r="B375" t="s">
        <v>441</v>
      </c>
    </row>
    <row r="376" spans="1:2" x14ac:dyDescent="0.25">
      <c r="A376" s="1" t="s">
        <v>3033</v>
      </c>
      <c r="B376" t="s">
        <v>442</v>
      </c>
    </row>
    <row r="377" spans="1:2" x14ac:dyDescent="0.25">
      <c r="A377" s="1" t="s">
        <v>3034</v>
      </c>
      <c r="B377" t="s">
        <v>443</v>
      </c>
    </row>
    <row r="378" spans="1:2" x14ac:dyDescent="0.25">
      <c r="A378" s="1" t="s">
        <v>3035</v>
      </c>
      <c r="B378" t="s">
        <v>444</v>
      </c>
    </row>
    <row r="379" spans="1:2" x14ac:dyDescent="0.25">
      <c r="A379" s="1" t="s">
        <v>3036</v>
      </c>
      <c r="B379" t="s">
        <v>445</v>
      </c>
    </row>
    <row r="380" spans="1:2" x14ac:dyDescent="0.25">
      <c r="A380" s="1" t="s">
        <v>3037</v>
      </c>
      <c r="B380" t="s">
        <v>446</v>
      </c>
    </row>
    <row r="381" spans="1:2" x14ac:dyDescent="0.25">
      <c r="A381" s="1" t="s">
        <v>3038</v>
      </c>
      <c r="B381" t="s">
        <v>447</v>
      </c>
    </row>
    <row r="382" spans="1:2" x14ac:dyDescent="0.25">
      <c r="A382" s="1" t="s">
        <v>3039</v>
      </c>
      <c r="B382" t="s">
        <v>448</v>
      </c>
    </row>
    <row r="383" spans="1:2" x14ac:dyDescent="0.25">
      <c r="A383" s="1" t="s">
        <v>3040</v>
      </c>
      <c r="B383" t="s">
        <v>449</v>
      </c>
    </row>
    <row r="384" spans="1:2" x14ac:dyDescent="0.25">
      <c r="A384" s="1" t="s">
        <v>3041</v>
      </c>
      <c r="B384" t="s">
        <v>450</v>
      </c>
    </row>
    <row r="385" spans="1:2" x14ac:dyDescent="0.25">
      <c r="A385" s="1" t="s">
        <v>3042</v>
      </c>
      <c r="B385" t="s">
        <v>451</v>
      </c>
    </row>
    <row r="386" spans="1:2" x14ac:dyDescent="0.25">
      <c r="A386" s="1" t="s">
        <v>3043</v>
      </c>
      <c r="B386" t="s">
        <v>452</v>
      </c>
    </row>
    <row r="387" spans="1:2" x14ac:dyDescent="0.25">
      <c r="A387" s="1" t="s">
        <v>3044</v>
      </c>
      <c r="B387" t="s">
        <v>453</v>
      </c>
    </row>
    <row r="388" spans="1:2" x14ac:dyDescent="0.25">
      <c r="A388" s="1" t="s">
        <v>3045</v>
      </c>
      <c r="B388" t="s">
        <v>454</v>
      </c>
    </row>
    <row r="389" spans="1:2" x14ac:dyDescent="0.25">
      <c r="A389" s="1" t="s">
        <v>3046</v>
      </c>
      <c r="B389" t="s">
        <v>455</v>
      </c>
    </row>
    <row r="390" spans="1:2" x14ac:dyDescent="0.25">
      <c r="A390" s="1" t="s">
        <v>3047</v>
      </c>
      <c r="B390" t="s">
        <v>456</v>
      </c>
    </row>
    <row r="391" spans="1:2" x14ac:dyDescent="0.25">
      <c r="A391" s="1" t="s">
        <v>3048</v>
      </c>
      <c r="B391" t="s">
        <v>457</v>
      </c>
    </row>
    <row r="392" spans="1:2" x14ac:dyDescent="0.25">
      <c r="A392" s="1" t="s">
        <v>3049</v>
      </c>
      <c r="B392" t="s">
        <v>458</v>
      </c>
    </row>
    <row r="393" spans="1:2" x14ac:dyDescent="0.25">
      <c r="A393" s="1" t="s">
        <v>3050</v>
      </c>
      <c r="B393" t="s">
        <v>459</v>
      </c>
    </row>
    <row r="394" spans="1:2" x14ac:dyDescent="0.25">
      <c r="A394" s="1" t="s">
        <v>3051</v>
      </c>
      <c r="B394" t="s">
        <v>460</v>
      </c>
    </row>
    <row r="395" spans="1:2" x14ac:dyDescent="0.25">
      <c r="A395" s="1" t="s">
        <v>3052</v>
      </c>
      <c r="B395" t="s">
        <v>461</v>
      </c>
    </row>
    <row r="396" spans="1:2" x14ac:dyDescent="0.25">
      <c r="A396" s="1" t="s">
        <v>3053</v>
      </c>
      <c r="B396" t="s">
        <v>462</v>
      </c>
    </row>
    <row r="397" spans="1:2" x14ac:dyDescent="0.25">
      <c r="A397" s="1" t="s">
        <v>3054</v>
      </c>
      <c r="B397" t="s">
        <v>463</v>
      </c>
    </row>
    <row r="398" spans="1:2" x14ac:dyDescent="0.25">
      <c r="A398" s="1" t="s">
        <v>3055</v>
      </c>
      <c r="B398" t="s">
        <v>464</v>
      </c>
    </row>
    <row r="399" spans="1:2" x14ac:dyDescent="0.25">
      <c r="A399" s="1" t="s">
        <v>3056</v>
      </c>
      <c r="B399" t="s">
        <v>465</v>
      </c>
    </row>
    <row r="400" spans="1:2" x14ac:dyDescent="0.25">
      <c r="A400" s="1" t="s">
        <v>3057</v>
      </c>
      <c r="B400" t="s">
        <v>466</v>
      </c>
    </row>
    <row r="401" spans="1:2" x14ac:dyDescent="0.25">
      <c r="A401" s="1" t="s">
        <v>3058</v>
      </c>
      <c r="B401" t="s">
        <v>467</v>
      </c>
    </row>
    <row r="402" spans="1:2" x14ac:dyDescent="0.25">
      <c r="A402" s="1" t="s">
        <v>3059</v>
      </c>
      <c r="B402" t="s">
        <v>468</v>
      </c>
    </row>
    <row r="403" spans="1:2" x14ac:dyDescent="0.25">
      <c r="A403" s="1" t="s">
        <v>3060</v>
      </c>
      <c r="B403" t="s">
        <v>469</v>
      </c>
    </row>
    <row r="404" spans="1:2" x14ac:dyDescent="0.25">
      <c r="A404" s="1" t="s">
        <v>3061</v>
      </c>
      <c r="B404" t="s">
        <v>470</v>
      </c>
    </row>
    <row r="405" spans="1:2" x14ac:dyDescent="0.25">
      <c r="A405" s="1" t="s">
        <v>3062</v>
      </c>
      <c r="B405" t="s">
        <v>472</v>
      </c>
    </row>
    <row r="406" spans="1:2" x14ac:dyDescent="0.25">
      <c r="A406" s="1" t="s">
        <v>3063</v>
      </c>
      <c r="B406" t="s">
        <v>473</v>
      </c>
    </row>
    <row r="407" spans="1:2" x14ac:dyDescent="0.25">
      <c r="A407" s="1" t="s">
        <v>3064</v>
      </c>
      <c r="B407" t="s">
        <v>474</v>
      </c>
    </row>
    <row r="408" spans="1:2" x14ac:dyDescent="0.25">
      <c r="A408" s="1" t="s">
        <v>3065</v>
      </c>
      <c r="B408" t="s">
        <v>476</v>
      </c>
    </row>
    <row r="409" spans="1:2" x14ac:dyDescent="0.25">
      <c r="A409" s="1" t="s">
        <v>3066</v>
      </c>
      <c r="B409" t="s">
        <v>477</v>
      </c>
    </row>
    <row r="410" spans="1:2" x14ac:dyDescent="0.25">
      <c r="A410" s="1" t="s">
        <v>3067</v>
      </c>
      <c r="B410" t="s">
        <v>478</v>
      </c>
    </row>
    <row r="411" spans="1:2" x14ac:dyDescent="0.25">
      <c r="A411" s="1" t="s">
        <v>3068</v>
      </c>
      <c r="B411" t="s">
        <v>479</v>
      </c>
    </row>
    <row r="412" spans="1:2" x14ac:dyDescent="0.25">
      <c r="A412" s="1" t="s">
        <v>3069</v>
      </c>
      <c r="B412" t="s">
        <v>481</v>
      </c>
    </row>
    <row r="413" spans="1:2" x14ac:dyDescent="0.25">
      <c r="A413" s="1" t="s">
        <v>3070</v>
      </c>
      <c r="B413" t="s">
        <v>482</v>
      </c>
    </row>
    <row r="414" spans="1:2" x14ac:dyDescent="0.25">
      <c r="A414" s="1" t="s">
        <v>3071</v>
      </c>
      <c r="B414" t="s">
        <v>483</v>
      </c>
    </row>
    <row r="415" spans="1:2" x14ac:dyDescent="0.25">
      <c r="A415" s="1" t="s">
        <v>3072</v>
      </c>
      <c r="B415" t="s">
        <v>487</v>
      </c>
    </row>
    <row r="416" spans="1:2" x14ac:dyDescent="0.25">
      <c r="A416" s="1" t="s">
        <v>3073</v>
      </c>
      <c r="B416" t="s">
        <v>488</v>
      </c>
    </row>
    <row r="417" spans="1:2" x14ac:dyDescent="0.25">
      <c r="A417" s="1" t="s">
        <v>3074</v>
      </c>
      <c r="B417" t="s">
        <v>489</v>
      </c>
    </row>
    <row r="418" spans="1:2" x14ac:dyDescent="0.25">
      <c r="A418" s="1" t="s">
        <v>3075</v>
      </c>
      <c r="B418" t="s">
        <v>490</v>
      </c>
    </row>
    <row r="419" spans="1:2" x14ac:dyDescent="0.25">
      <c r="A419" s="1" t="s">
        <v>3076</v>
      </c>
      <c r="B419" t="s">
        <v>491</v>
      </c>
    </row>
    <row r="420" spans="1:2" x14ac:dyDescent="0.25">
      <c r="A420" s="1" t="s">
        <v>3077</v>
      </c>
      <c r="B420" t="s">
        <v>493</v>
      </c>
    </row>
    <row r="421" spans="1:2" x14ac:dyDescent="0.25">
      <c r="A421" s="1" t="s">
        <v>3078</v>
      </c>
      <c r="B421" t="s">
        <v>494</v>
      </c>
    </row>
    <row r="422" spans="1:2" x14ac:dyDescent="0.25">
      <c r="A422" s="1" t="s">
        <v>3079</v>
      </c>
      <c r="B422" t="s">
        <v>495</v>
      </c>
    </row>
    <row r="423" spans="1:2" x14ac:dyDescent="0.25">
      <c r="A423" s="1" t="s">
        <v>3080</v>
      </c>
      <c r="B423" t="s">
        <v>496</v>
      </c>
    </row>
    <row r="424" spans="1:2" x14ac:dyDescent="0.25">
      <c r="A424" s="1" t="s">
        <v>3081</v>
      </c>
      <c r="B424" t="s">
        <v>497</v>
      </c>
    </row>
    <row r="425" spans="1:2" x14ac:dyDescent="0.25">
      <c r="A425" s="1" t="s">
        <v>3082</v>
      </c>
      <c r="B425" t="s">
        <v>499</v>
      </c>
    </row>
    <row r="426" spans="1:2" x14ac:dyDescent="0.25">
      <c r="A426" s="1" t="s">
        <v>3083</v>
      </c>
      <c r="B426" t="s">
        <v>500</v>
      </c>
    </row>
    <row r="427" spans="1:2" x14ac:dyDescent="0.25">
      <c r="A427" s="1" t="s">
        <v>3084</v>
      </c>
      <c r="B427" t="s">
        <v>501</v>
      </c>
    </row>
    <row r="428" spans="1:2" x14ac:dyDescent="0.25">
      <c r="A428" s="1" t="s">
        <v>3085</v>
      </c>
      <c r="B428" t="s">
        <v>502</v>
      </c>
    </row>
    <row r="429" spans="1:2" x14ac:dyDescent="0.25">
      <c r="A429" s="1" t="s">
        <v>3086</v>
      </c>
      <c r="B429" t="s">
        <v>503</v>
      </c>
    </row>
    <row r="430" spans="1:2" x14ac:dyDescent="0.25">
      <c r="A430" s="1" t="s">
        <v>3087</v>
      </c>
      <c r="B430" t="s">
        <v>504</v>
      </c>
    </row>
    <row r="431" spans="1:2" x14ac:dyDescent="0.25">
      <c r="A431" s="1" t="s">
        <v>3088</v>
      </c>
      <c r="B431" t="s">
        <v>506</v>
      </c>
    </row>
    <row r="432" spans="1:2" x14ac:dyDescent="0.25">
      <c r="A432" s="1" t="s">
        <v>3089</v>
      </c>
      <c r="B432" t="s">
        <v>507</v>
      </c>
    </row>
    <row r="433" spans="1:2" x14ac:dyDescent="0.25">
      <c r="A433" s="1" t="s">
        <v>3090</v>
      </c>
      <c r="B433" t="s">
        <v>508</v>
      </c>
    </row>
    <row r="434" spans="1:2" x14ac:dyDescent="0.25">
      <c r="A434" s="1" t="s">
        <v>3091</v>
      </c>
      <c r="B434" t="s">
        <v>509</v>
      </c>
    </row>
    <row r="435" spans="1:2" x14ac:dyDescent="0.25">
      <c r="A435" s="1" t="s">
        <v>3092</v>
      </c>
      <c r="B435" t="s">
        <v>513</v>
      </c>
    </row>
    <row r="436" spans="1:2" x14ac:dyDescent="0.25">
      <c r="A436" s="1" t="s">
        <v>3093</v>
      </c>
      <c r="B436" t="s">
        <v>514</v>
      </c>
    </row>
    <row r="437" spans="1:2" x14ac:dyDescent="0.25">
      <c r="A437" s="1" t="s">
        <v>3094</v>
      </c>
      <c r="B437" t="s">
        <v>515</v>
      </c>
    </row>
    <row r="438" spans="1:2" x14ac:dyDescent="0.25">
      <c r="A438" s="1" t="s">
        <v>3095</v>
      </c>
      <c r="B438" t="s">
        <v>517</v>
      </c>
    </row>
    <row r="439" spans="1:2" x14ac:dyDescent="0.25">
      <c r="A439" s="1" t="s">
        <v>3096</v>
      </c>
      <c r="B439" t="s">
        <v>518</v>
      </c>
    </row>
    <row r="440" spans="1:2" x14ac:dyDescent="0.25">
      <c r="A440" s="1" t="s">
        <v>3097</v>
      </c>
      <c r="B440" t="s">
        <v>520</v>
      </c>
    </row>
    <row r="441" spans="1:2" x14ac:dyDescent="0.25">
      <c r="A441" s="1" t="s">
        <v>3098</v>
      </c>
      <c r="B441" t="s">
        <v>521</v>
      </c>
    </row>
    <row r="442" spans="1:2" x14ac:dyDescent="0.25">
      <c r="A442" s="1" t="s">
        <v>3099</v>
      </c>
      <c r="B442" t="s">
        <v>522</v>
      </c>
    </row>
    <row r="443" spans="1:2" x14ac:dyDescent="0.25">
      <c r="A443" s="1" t="s">
        <v>3100</v>
      </c>
      <c r="B443" t="s">
        <v>524</v>
      </c>
    </row>
    <row r="444" spans="1:2" x14ac:dyDescent="0.25">
      <c r="A444" s="1" t="s">
        <v>3101</v>
      </c>
      <c r="B444" t="s">
        <v>525</v>
      </c>
    </row>
    <row r="445" spans="1:2" x14ac:dyDescent="0.25">
      <c r="A445" s="1" t="s">
        <v>3102</v>
      </c>
      <c r="B445" t="s">
        <v>526</v>
      </c>
    </row>
    <row r="446" spans="1:2" x14ac:dyDescent="0.25">
      <c r="A446" s="1" t="s">
        <v>3103</v>
      </c>
      <c r="B446" t="s">
        <v>527</v>
      </c>
    </row>
    <row r="447" spans="1:2" x14ac:dyDescent="0.25">
      <c r="A447" s="1" t="s">
        <v>3104</v>
      </c>
      <c r="B447" t="s">
        <v>528</v>
      </c>
    </row>
    <row r="448" spans="1:2" x14ac:dyDescent="0.25">
      <c r="A448" s="1" t="s">
        <v>3105</v>
      </c>
      <c r="B448" t="s">
        <v>529</v>
      </c>
    </row>
    <row r="449" spans="1:2" x14ac:dyDescent="0.25">
      <c r="A449" s="1" t="s">
        <v>3106</v>
      </c>
      <c r="B449" t="s">
        <v>530</v>
      </c>
    </row>
    <row r="450" spans="1:2" x14ac:dyDescent="0.25">
      <c r="A450" s="1" t="s">
        <v>3107</v>
      </c>
      <c r="B450" t="s">
        <v>531</v>
      </c>
    </row>
    <row r="451" spans="1:2" x14ac:dyDescent="0.25">
      <c r="A451" s="1" t="s">
        <v>3108</v>
      </c>
      <c r="B451" t="s">
        <v>532</v>
      </c>
    </row>
    <row r="452" spans="1:2" x14ac:dyDescent="0.25">
      <c r="A452" s="1" t="s">
        <v>3109</v>
      </c>
      <c r="B452" t="s">
        <v>533</v>
      </c>
    </row>
    <row r="453" spans="1:2" x14ac:dyDescent="0.25">
      <c r="A453" s="1" t="s">
        <v>3110</v>
      </c>
      <c r="B453" t="s">
        <v>534</v>
      </c>
    </row>
    <row r="454" spans="1:2" x14ac:dyDescent="0.25">
      <c r="A454" s="1" t="s">
        <v>3111</v>
      </c>
      <c r="B454" t="s">
        <v>535</v>
      </c>
    </row>
    <row r="455" spans="1:2" x14ac:dyDescent="0.25">
      <c r="A455" s="1" t="s">
        <v>3112</v>
      </c>
      <c r="B455" t="s">
        <v>536</v>
      </c>
    </row>
    <row r="456" spans="1:2" x14ac:dyDescent="0.25">
      <c r="A456" s="1" t="s">
        <v>3113</v>
      </c>
      <c r="B456" t="s">
        <v>537</v>
      </c>
    </row>
    <row r="457" spans="1:2" x14ac:dyDescent="0.25">
      <c r="A457" s="1" t="s">
        <v>3114</v>
      </c>
      <c r="B457" t="s">
        <v>538</v>
      </c>
    </row>
    <row r="458" spans="1:2" x14ac:dyDescent="0.25">
      <c r="A458" s="1" t="s">
        <v>3115</v>
      </c>
      <c r="B458" t="s">
        <v>539</v>
      </c>
    </row>
    <row r="459" spans="1:2" x14ac:dyDescent="0.25">
      <c r="A459" s="1" t="s">
        <v>3116</v>
      </c>
      <c r="B459" t="s">
        <v>540</v>
      </c>
    </row>
    <row r="460" spans="1:2" x14ac:dyDescent="0.25">
      <c r="A460" s="1" t="s">
        <v>3117</v>
      </c>
      <c r="B460" t="s">
        <v>541</v>
      </c>
    </row>
    <row r="461" spans="1:2" x14ac:dyDescent="0.25">
      <c r="A461" s="1" t="s">
        <v>3118</v>
      </c>
      <c r="B461" t="s">
        <v>542</v>
      </c>
    </row>
    <row r="462" spans="1:2" x14ac:dyDescent="0.25">
      <c r="A462" s="1" t="s">
        <v>3119</v>
      </c>
      <c r="B462" t="s">
        <v>543</v>
      </c>
    </row>
    <row r="463" spans="1:2" x14ac:dyDescent="0.25">
      <c r="A463" s="1" t="s">
        <v>3120</v>
      </c>
      <c r="B463" t="s">
        <v>544</v>
      </c>
    </row>
    <row r="464" spans="1:2" x14ac:dyDescent="0.25">
      <c r="A464" s="1" t="s">
        <v>3121</v>
      </c>
      <c r="B464" t="s">
        <v>545</v>
      </c>
    </row>
    <row r="465" spans="1:2" x14ac:dyDescent="0.25">
      <c r="A465" s="1" t="s">
        <v>3122</v>
      </c>
      <c r="B465" t="s">
        <v>546</v>
      </c>
    </row>
    <row r="466" spans="1:2" x14ac:dyDescent="0.25">
      <c r="A466" s="1" t="s">
        <v>3123</v>
      </c>
      <c r="B466" t="s">
        <v>547</v>
      </c>
    </row>
    <row r="467" spans="1:2" x14ac:dyDescent="0.25">
      <c r="A467" s="1" t="s">
        <v>3124</v>
      </c>
      <c r="B467" t="s">
        <v>548</v>
      </c>
    </row>
    <row r="468" spans="1:2" x14ac:dyDescent="0.25">
      <c r="A468" s="1" t="s">
        <v>3125</v>
      </c>
      <c r="B468" t="s">
        <v>550</v>
      </c>
    </row>
    <row r="469" spans="1:2" x14ac:dyDescent="0.25">
      <c r="A469" s="1" t="s">
        <v>3126</v>
      </c>
      <c r="B469" t="s">
        <v>551</v>
      </c>
    </row>
    <row r="470" spans="1:2" x14ac:dyDescent="0.25">
      <c r="A470" s="1" t="s">
        <v>3127</v>
      </c>
      <c r="B470" t="s">
        <v>552</v>
      </c>
    </row>
    <row r="471" spans="1:2" x14ac:dyDescent="0.25">
      <c r="A471" s="1" t="s">
        <v>3128</v>
      </c>
      <c r="B471" t="s">
        <v>553</v>
      </c>
    </row>
    <row r="472" spans="1:2" x14ac:dyDescent="0.25">
      <c r="A472" s="1" t="s">
        <v>3129</v>
      </c>
      <c r="B472" t="s">
        <v>557</v>
      </c>
    </row>
    <row r="473" spans="1:2" x14ac:dyDescent="0.25">
      <c r="A473" s="1" t="s">
        <v>3130</v>
      </c>
      <c r="B473" t="s">
        <v>558</v>
      </c>
    </row>
    <row r="474" spans="1:2" x14ac:dyDescent="0.25">
      <c r="A474" s="1" t="s">
        <v>3131</v>
      </c>
      <c r="B474" t="s">
        <v>559</v>
      </c>
    </row>
    <row r="475" spans="1:2" x14ac:dyDescent="0.25">
      <c r="A475" s="1" t="s">
        <v>3132</v>
      </c>
      <c r="B475" t="s">
        <v>561</v>
      </c>
    </row>
    <row r="476" spans="1:2" x14ac:dyDescent="0.25">
      <c r="A476" s="1" t="s">
        <v>3133</v>
      </c>
      <c r="B476" t="s">
        <v>566</v>
      </c>
    </row>
    <row r="477" spans="1:2" x14ac:dyDescent="0.25">
      <c r="A477" s="1" t="s">
        <v>3134</v>
      </c>
      <c r="B477" t="s">
        <v>567</v>
      </c>
    </row>
    <row r="478" spans="1:2" x14ac:dyDescent="0.25">
      <c r="A478" s="1" t="s">
        <v>3135</v>
      </c>
      <c r="B478" t="s">
        <v>568</v>
      </c>
    </row>
    <row r="479" spans="1:2" x14ac:dyDescent="0.25">
      <c r="A479" s="1" t="s">
        <v>3136</v>
      </c>
      <c r="B479" t="s">
        <v>570</v>
      </c>
    </row>
    <row r="480" spans="1:2" x14ac:dyDescent="0.25">
      <c r="A480" s="1" t="s">
        <v>3137</v>
      </c>
      <c r="B480" t="s">
        <v>571</v>
      </c>
    </row>
    <row r="481" spans="1:2" x14ac:dyDescent="0.25">
      <c r="A481" s="1" t="s">
        <v>3138</v>
      </c>
      <c r="B481" t="s">
        <v>573</v>
      </c>
    </row>
    <row r="482" spans="1:2" x14ac:dyDescent="0.25">
      <c r="A482" s="1" t="s">
        <v>3139</v>
      </c>
      <c r="B482" t="s">
        <v>576</v>
      </c>
    </row>
    <row r="483" spans="1:2" x14ac:dyDescent="0.25">
      <c r="A483" s="1" t="s">
        <v>3140</v>
      </c>
      <c r="B483" t="s">
        <v>578</v>
      </c>
    </row>
    <row r="484" spans="1:2" x14ac:dyDescent="0.25">
      <c r="A484" s="1" t="s">
        <v>3141</v>
      </c>
      <c r="B484" t="s">
        <v>579</v>
      </c>
    </row>
    <row r="485" spans="1:2" x14ac:dyDescent="0.25">
      <c r="A485" s="1" t="s">
        <v>3142</v>
      </c>
      <c r="B485" t="s">
        <v>580</v>
      </c>
    </row>
    <row r="486" spans="1:2" x14ac:dyDescent="0.25">
      <c r="A486" s="1" t="s">
        <v>3143</v>
      </c>
      <c r="B486" t="s">
        <v>581</v>
      </c>
    </row>
    <row r="487" spans="1:2" x14ac:dyDescent="0.25">
      <c r="A487" s="1" t="s">
        <v>3144</v>
      </c>
      <c r="B487" t="s">
        <v>582</v>
      </c>
    </row>
    <row r="488" spans="1:2" x14ac:dyDescent="0.25">
      <c r="A488" s="1" t="s">
        <v>3145</v>
      </c>
      <c r="B488" t="s">
        <v>584</v>
      </c>
    </row>
    <row r="489" spans="1:2" x14ac:dyDescent="0.25">
      <c r="A489" s="1" t="s">
        <v>3146</v>
      </c>
      <c r="B489" t="s">
        <v>586</v>
      </c>
    </row>
    <row r="490" spans="1:2" x14ac:dyDescent="0.25">
      <c r="A490" s="1" t="s">
        <v>3147</v>
      </c>
      <c r="B490" t="s">
        <v>587</v>
      </c>
    </row>
    <row r="491" spans="1:2" x14ac:dyDescent="0.25">
      <c r="A491" s="1" t="s">
        <v>3148</v>
      </c>
      <c r="B491" t="s">
        <v>589</v>
      </c>
    </row>
    <row r="492" spans="1:2" x14ac:dyDescent="0.25">
      <c r="A492" s="1" t="s">
        <v>3149</v>
      </c>
      <c r="B492" t="s">
        <v>590</v>
      </c>
    </row>
    <row r="493" spans="1:2" x14ac:dyDescent="0.25">
      <c r="A493" s="1" t="s">
        <v>3150</v>
      </c>
      <c r="B493" t="s">
        <v>592</v>
      </c>
    </row>
    <row r="494" spans="1:2" x14ac:dyDescent="0.25">
      <c r="A494" s="1" t="s">
        <v>3151</v>
      </c>
      <c r="B494" t="s">
        <v>593</v>
      </c>
    </row>
    <row r="495" spans="1:2" x14ac:dyDescent="0.25">
      <c r="A495" s="1" t="s">
        <v>3152</v>
      </c>
      <c r="B495" t="s">
        <v>594</v>
      </c>
    </row>
    <row r="496" spans="1:2" x14ac:dyDescent="0.25">
      <c r="A496" s="1" t="s">
        <v>3153</v>
      </c>
      <c r="B496" t="s">
        <v>596</v>
      </c>
    </row>
    <row r="497" spans="1:2" x14ac:dyDescent="0.25">
      <c r="A497" s="1" t="s">
        <v>3154</v>
      </c>
      <c r="B497" t="s">
        <v>597</v>
      </c>
    </row>
    <row r="498" spans="1:2" x14ac:dyDescent="0.25">
      <c r="A498" s="1" t="s">
        <v>3155</v>
      </c>
      <c r="B498" t="s">
        <v>598</v>
      </c>
    </row>
    <row r="499" spans="1:2" x14ac:dyDescent="0.25">
      <c r="A499" s="1" t="s">
        <v>3156</v>
      </c>
      <c r="B499" t="s">
        <v>599</v>
      </c>
    </row>
    <row r="500" spans="1:2" x14ac:dyDescent="0.25">
      <c r="A500" s="1" t="s">
        <v>3157</v>
      </c>
      <c r="B500" t="s">
        <v>600</v>
      </c>
    </row>
    <row r="501" spans="1:2" x14ac:dyDescent="0.25">
      <c r="A501" s="1" t="s">
        <v>3158</v>
      </c>
      <c r="B501" t="s">
        <v>601</v>
      </c>
    </row>
    <row r="502" spans="1:2" x14ac:dyDescent="0.25">
      <c r="A502" s="1" t="s">
        <v>3159</v>
      </c>
      <c r="B502" t="s">
        <v>603</v>
      </c>
    </row>
    <row r="503" spans="1:2" x14ac:dyDescent="0.25">
      <c r="A503" s="1" t="s">
        <v>3160</v>
      </c>
      <c r="B503" t="s">
        <v>604</v>
      </c>
    </row>
    <row r="504" spans="1:2" x14ac:dyDescent="0.25">
      <c r="A504" s="1" t="s">
        <v>3161</v>
      </c>
      <c r="B504" t="s">
        <v>605</v>
      </c>
    </row>
    <row r="505" spans="1:2" x14ac:dyDescent="0.25">
      <c r="A505" s="1" t="s">
        <v>3162</v>
      </c>
      <c r="B505" t="s">
        <v>607</v>
      </c>
    </row>
    <row r="506" spans="1:2" x14ac:dyDescent="0.25">
      <c r="A506" s="1" t="s">
        <v>3163</v>
      </c>
      <c r="B506" t="s">
        <v>608</v>
      </c>
    </row>
    <row r="507" spans="1:2" x14ac:dyDescent="0.25">
      <c r="A507" s="1" t="s">
        <v>3164</v>
      </c>
      <c r="B507" t="s">
        <v>609</v>
      </c>
    </row>
    <row r="508" spans="1:2" x14ac:dyDescent="0.25">
      <c r="A508" s="1" t="s">
        <v>3165</v>
      </c>
      <c r="B508" t="s">
        <v>610</v>
      </c>
    </row>
    <row r="509" spans="1:2" x14ac:dyDescent="0.25">
      <c r="A509" s="1" t="s">
        <v>3166</v>
      </c>
      <c r="B509" t="s">
        <v>611</v>
      </c>
    </row>
    <row r="510" spans="1:2" x14ac:dyDescent="0.25">
      <c r="A510" s="1" t="s">
        <v>3167</v>
      </c>
      <c r="B510" t="s">
        <v>612</v>
      </c>
    </row>
    <row r="511" spans="1:2" x14ac:dyDescent="0.25">
      <c r="A511" s="1" t="s">
        <v>3168</v>
      </c>
      <c r="B511" t="s">
        <v>614</v>
      </c>
    </row>
    <row r="512" spans="1:2" x14ac:dyDescent="0.25">
      <c r="A512" s="1" t="s">
        <v>3169</v>
      </c>
      <c r="B512" t="s">
        <v>615</v>
      </c>
    </row>
    <row r="513" spans="1:2" x14ac:dyDescent="0.25">
      <c r="A513" s="1" t="s">
        <v>3170</v>
      </c>
      <c r="B513" t="s">
        <v>617</v>
      </c>
    </row>
    <row r="514" spans="1:2" x14ac:dyDescent="0.25">
      <c r="A514" s="1" t="s">
        <v>3171</v>
      </c>
      <c r="B514" t="s">
        <v>618</v>
      </c>
    </row>
    <row r="515" spans="1:2" x14ac:dyDescent="0.25">
      <c r="A515" s="1" t="s">
        <v>3172</v>
      </c>
      <c r="B515" t="s">
        <v>619</v>
      </c>
    </row>
    <row r="516" spans="1:2" x14ac:dyDescent="0.25">
      <c r="A516" s="1" t="s">
        <v>3173</v>
      </c>
      <c r="B516" t="s">
        <v>620</v>
      </c>
    </row>
    <row r="517" spans="1:2" x14ac:dyDescent="0.25">
      <c r="A517" s="1" t="s">
        <v>3174</v>
      </c>
      <c r="B517" t="s">
        <v>622</v>
      </c>
    </row>
    <row r="518" spans="1:2" x14ac:dyDescent="0.25">
      <c r="A518" s="1" t="s">
        <v>3175</v>
      </c>
      <c r="B518" t="s">
        <v>623</v>
      </c>
    </row>
    <row r="519" spans="1:2" x14ac:dyDescent="0.25">
      <c r="A519" s="1" t="s">
        <v>3176</v>
      </c>
      <c r="B519" t="s">
        <v>624</v>
      </c>
    </row>
    <row r="520" spans="1:2" x14ac:dyDescent="0.25">
      <c r="A520" s="1" t="s">
        <v>3177</v>
      </c>
      <c r="B520" t="s">
        <v>626</v>
      </c>
    </row>
    <row r="521" spans="1:2" x14ac:dyDescent="0.25">
      <c r="A521" s="1" t="s">
        <v>3178</v>
      </c>
      <c r="B521" t="s">
        <v>629</v>
      </c>
    </row>
    <row r="522" spans="1:2" x14ac:dyDescent="0.25">
      <c r="A522" s="1" t="s">
        <v>3179</v>
      </c>
      <c r="B522" t="s">
        <v>630</v>
      </c>
    </row>
    <row r="523" spans="1:2" x14ac:dyDescent="0.25">
      <c r="A523" s="1" t="s">
        <v>3180</v>
      </c>
      <c r="B523" t="s">
        <v>632</v>
      </c>
    </row>
    <row r="524" spans="1:2" x14ac:dyDescent="0.25">
      <c r="A524" s="1" t="s">
        <v>3181</v>
      </c>
      <c r="B524" t="s">
        <v>634</v>
      </c>
    </row>
    <row r="525" spans="1:2" x14ac:dyDescent="0.25">
      <c r="A525" s="1" t="s">
        <v>3182</v>
      </c>
      <c r="B525" t="s">
        <v>636</v>
      </c>
    </row>
    <row r="526" spans="1:2" x14ac:dyDescent="0.25">
      <c r="A526" s="1" t="s">
        <v>3183</v>
      </c>
      <c r="B526" t="s">
        <v>637</v>
      </c>
    </row>
    <row r="527" spans="1:2" x14ac:dyDescent="0.25">
      <c r="A527" s="1" t="s">
        <v>3184</v>
      </c>
      <c r="B527" t="s">
        <v>638</v>
      </c>
    </row>
    <row r="528" spans="1:2" x14ac:dyDescent="0.25">
      <c r="A528" s="1" t="s">
        <v>3185</v>
      </c>
      <c r="B528" t="s">
        <v>639</v>
      </c>
    </row>
    <row r="529" spans="1:2" x14ac:dyDescent="0.25">
      <c r="A529" s="1" t="s">
        <v>3186</v>
      </c>
      <c r="B529" t="s">
        <v>641</v>
      </c>
    </row>
    <row r="530" spans="1:2" x14ac:dyDescent="0.25">
      <c r="A530" s="1" t="s">
        <v>3187</v>
      </c>
      <c r="B530" t="s">
        <v>642</v>
      </c>
    </row>
    <row r="531" spans="1:2" x14ac:dyDescent="0.25">
      <c r="A531" s="1" t="s">
        <v>3188</v>
      </c>
      <c r="B531" t="s">
        <v>643</v>
      </c>
    </row>
    <row r="532" spans="1:2" x14ac:dyDescent="0.25">
      <c r="A532" s="1" t="s">
        <v>3189</v>
      </c>
      <c r="B532" t="s">
        <v>644</v>
      </c>
    </row>
    <row r="533" spans="1:2" x14ac:dyDescent="0.25">
      <c r="A533" s="1" t="s">
        <v>3190</v>
      </c>
      <c r="B533" t="s">
        <v>645</v>
      </c>
    </row>
    <row r="534" spans="1:2" x14ac:dyDescent="0.25">
      <c r="A534" s="1" t="s">
        <v>3191</v>
      </c>
      <c r="B534" t="s">
        <v>646</v>
      </c>
    </row>
    <row r="535" spans="1:2" x14ac:dyDescent="0.25">
      <c r="A535" s="1" t="s">
        <v>3192</v>
      </c>
      <c r="B535" t="s">
        <v>647</v>
      </c>
    </row>
    <row r="536" spans="1:2" x14ac:dyDescent="0.25">
      <c r="A536" s="1" t="s">
        <v>3193</v>
      </c>
      <c r="B536" t="s">
        <v>648</v>
      </c>
    </row>
    <row r="537" spans="1:2" x14ac:dyDescent="0.25">
      <c r="A537" s="1" t="s">
        <v>3194</v>
      </c>
      <c r="B537" t="s">
        <v>650</v>
      </c>
    </row>
    <row r="538" spans="1:2" x14ac:dyDescent="0.25">
      <c r="A538" s="1" t="s">
        <v>3195</v>
      </c>
      <c r="B538" t="s">
        <v>652</v>
      </c>
    </row>
    <row r="539" spans="1:2" x14ac:dyDescent="0.25">
      <c r="A539" s="1" t="s">
        <v>3196</v>
      </c>
      <c r="B539" t="s">
        <v>653</v>
      </c>
    </row>
    <row r="540" spans="1:2" x14ac:dyDescent="0.25">
      <c r="A540" s="1" t="s">
        <v>3197</v>
      </c>
      <c r="B540" t="s">
        <v>654</v>
      </c>
    </row>
    <row r="541" spans="1:2" x14ac:dyDescent="0.25">
      <c r="A541" s="1" t="s">
        <v>3198</v>
      </c>
      <c r="B541" t="s">
        <v>655</v>
      </c>
    </row>
    <row r="542" spans="1:2" x14ac:dyDescent="0.25">
      <c r="A542" s="1" t="s">
        <v>3199</v>
      </c>
      <c r="B542" t="s">
        <v>656</v>
      </c>
    </row>
    <row r="543" spans="1:2" x14ac:dyDescent="0.25">
      <c r="A543" s="1" t="s">
        <v>3200</v>
      </c>
      <c r="B543" t="s">
        <v>588</v>
      </c>
    </row>
    <row r="544" spans="1:2" x14ac:dyDescent="0.25">
      <c r="A544" s="1" t="s">
        <v>3201</v>
      </c>
      <c r="B544" t="s">
        <v>658</v>
      </c>
    </row>
    <row r="545" spans="1:2" x14ac:dyDescent="0.25">
      <c r="A545" s="1" t="s">
        <v>3202</v>
      </c>
      <c r="B545" t="s">
        <v>589</v>
      </c>
    </row>
    <row r="546" spans="1:2" x14ac:dyDescent="0.25">
      <c r="A546" s="1" t="s">
        <v>3203</v>
      </c>
      <c r="B546" t="s">
        <v>659</v>
      </c>
    </row>
    <row r="547" spans="1:2" x14ac:dyDescent="0.25">
      <c r="A547" s="1" t="s">
        <v>3204</v>
      </c>
      <c r="B547" t="s">
        <v>660</v>
      </c>
    </row>
    <row r="548" spans="1:2" x14ac:dyDescent="0.25">
      <c r="A548" s="1" t="s">
        <v>3205</v>
      </c>
      <c r="B548" t="s">
        <v>661</v>
      </c>
    </row>
    <row r="549" spans="1:2" x14ac:dyDescent="0.25">
      <c r="A549" s="1" t="s">
        <v>3206</v>
      </c>
      <c r="B549" t="s">
        <v>662</v>
      </c>
    </row>
    <row r="550" spans="1:2" x14ac:dyDescent="0.25">
      <c r="A550" s="1" t="s">
        <v>3207</v>
      </c>
      <c r="B550" t="s">
        <v>664</v>
      </c>
    </row>
    <row r="551" spans="1:2" x14ac:dyDescent="0.25">
      <c r="A551" s="1" t="s">
        <v>3208</v>
      </c>
      <c r="B551" t="s">
        <v>668</v>
      </c>
    </row>
    <row r="552" spans="1:2" x14ac:dyDescent="0.25">
      <c r="A552" s="1" t="s">
        <v>3209</v>
      </c>
      <c r="B552" t="s">
        <v>669</v>
      </c>
    </row>
    <row r="553" spans="1:2" x14ac:dyDescent="0.25">
      <c r="A553" s="1" t="s">
        <v>3210</v>
      </c>
      <c r="B553" t="s">
        <v>670</v>
      </c>
    </row>
    <row r="554" spans="1:2" x14ac:dyDescent="0.25">
      <c r="A554" s="1" t="s">
        <v>3211</v>
      </c>
      <c r="B554" t="s">
        <v>671</v>
      </c>
    </row>
    <row r="555" spans="1:2" x14ac:dyDescent="0.25">
      <c r="A555" s="1" t="s">
        <v>3212</v>
      </c>
      <c r="B555" t="s">
        <v>672</v>
      </c>
    </row>
    <row r="556" spans="1:2" x14ac:dyDescent="0.25">
      <c r="A556" s="1" t="s">
        <v>3213</v>
      </c>
      <c r="B556" t="s">
        <v>673</v>
      </c>
    </row>
    <row r="557" spans="1:2" x14ac:dyDescent="0.25">
      <c r="A557" s="1" t="s">
        <v>3214</v>
      </c>
      <c r="B557" t="s">
        <v>674</v>
      </c>
    </row>
    <row r="558" spans="1:2" x14ac:dyDescent="0.25">
      <c r="A558" s="1" t="s">
        <v>3215</v>
      </c>
      <c r="B558" t="s">
        <v>676</v>
      </c>
    </row>
    <row r="559" spans="1:2" x14ac:dyDescent="0.25">
      <c r="A559" s="1" t="s">
        <v>3216</v>
      </c>
      <c r="B559" t="s">
        <v>677</v>
      </c>
    </row>
    <row r="560" spans="1:2" x14ac:dyDescent="0.25">
      <c r="A560" s="1" t="s">
        <v>3217</v>
      </c>
      <c r="B560" t="s">
        <v>678</v>
      </c>
    </row>
    <row r="561" spans="1:2" x14ac:dyDescent="0.25">
      <c r="A561" s="1" t="s">
        <v>3218</v>
      </c>
      <c r="B561" t="s">
        <v>679</v>
      </c>
    </row>
    <row r="562" spans="1:2" x14ac:dyDescent="0.25">
      <c r="A562" s="1" t="s">
        <v>3219</v>
      </c>
      <c r="B562" t="s">
        <v>680</v>
      </c>
    </row>
    <row r="563" spans="1:2" x14ac:dyDescent="0.25">
      <c r="A563" s="1" t="s">
        <v>3220</v>
      </c>
      <c r="B563" t="s">
        <v>681</v>
      </c>
    </row>
    <row r="564" spans="1:2" x14ac:dyDescent="0.25">
      <c r="A564" s="1" t="s">
        <v>3221</v>
      </c>
      <c r="B564" t="s">
        <v>683</v>
      </c>
    </row>
    <row r="565" spans="1:2" x14ac:dyDescent="0.25">
      <c r="A565" s="1" t="s">
        <v>3222</v>
      </c>
      <c r="B565" t="s">
        <v>684</v>
      </c>
    </row>
    <row r="566" spans="1:2" x14ac:dyDescent="0.25">
      <c r="A566" s="1" t="s">
        <v>3223</v>
      </c>
      <c r="B566" t="s">
        <v>685</v>
      </c>
    </row>
    <row r="567" spans="1:2" x14ac:dyDescent="0.25">
      <c r="A567" s="1" t="s">
        <v>3224</v>
      </c>
      <c r="B567" t="s">
        <v>686</v>
      </c>
    </row>
    <row r="568" spans="1:2" x14ac:dyDescent="0.25">
      <c r="A568" s="1" t="s">
        <v>3225</v>
      </c>
      <c r="B568" t="s">
        <v>687</v>
      </c>
    </row>
    <row r="569" spans="1:2" x14ac:dyDescent="0.25">
      <c r="A569" s="1" t="s">
        <v>3226</v>
      </c>
      <c r="B569" t="s">
        <v>688</v>
      </c>
    </row>
    <row r="570" spans="1:2" x14ac:dyDescent="0.25">
      <c r="A570" s="1" t="s">
        <v>3227</v>
      </c>
      <c r="B570" t="s">
        <v>689</v>
      </c>
    </row>
    <row r="571" spans="1:2" x14ac:dyDescent="0.25">
      <c r="A571" s="1" t="s">
        <v>3228</v>
      </c>
      <c r="B571" t="s">
        <v>690</v>
      </c>
    </row>
    <row r="572" spans="1:2" x14ac:dyDescent="0.25">
      <c r="A572" s="1" t="s">
        <v>3229</v>
      </c>
      <c r="B572" t="s">
        <v>691</v>
      </c>
    </row>
    <row r="573" spans="1:2" x14ac:dyDescent="0.25">
      <c r="A573" s="1" t="s">
        <v>3230</v>
      </c>
      <c r="B573" t="s">
        <v>692</v>
      </c>
    </row>
    <row r="574" spans="1:2" x14ac:dyDescent="0.25">
      <c r="A574" s="1" t="s">
        <v>3231</v>
      </c>
      <c r="B574" t="s">
        <v>693</v>
      </c>
    </row>
    <row r="575" spans="1:2" x14ac:dyDescent="0.25">
      <c r="A575" s="1" t="s">
        <v>3232</v>
      </c>
      <c r="B575" t="s">
        <v>695</v>
      </c>
    </row>
    <row r="576" spans="1:2" x14ac:dyDescent="0.25">
      <c r="A576" s="1" t="s">
        <v>3233</v>
      </c>
      <c r="B576" t="s">
        <v>696</v>
      </c>
    </row>
    <row r="577" spans="1:2" x14ac:dyDescent="0.25">
      <c r="A577" s="1" t="s">
        <v>3234</v>
      </c>
      <c r="B577" t="s">
        <v>697</v>
      </c>
    </row>
    <row r="578" spans="1:2" x14ac:dyDescent="0.25">
      <c r="A578" s="1" t="s">
        <v>3235</v>
      </c>
      <c r="B578" t="s">
        <v>698</v>
      </c>
    </row>
    <row r="579" spans="1:2" x14ac:dyDescent="0.25">
      <c r="A579" s="1" t="s">
        <v>3236</v>
      </c>
      <c r="B579" t="s">
        <v>699</v>
      </c>
    </row>
    <row r="580" spans="1:2" x14ac:dyDescent="0.25">
      <c r="A580" s="1" t="s">
        <v>3237</v>
      </c>
      <c r="B580" t="s">
        <v>700</v>
      </c>
    </row>
    <row r="581" spans="1:2" x14ac:dyDescent="0.25">
      <c r="A581" s="1" t="s">
        <v>3238</v>
      </c>
      <c r="B581" t="s">
        <v>701</v>
      </c>
    </row>
    <row r="582" spans="1:2" x14ac:dyDescent="0.25">
      <c r="A582" s="1" t="s">
        <v>3239</v>
      </c>
      <c r="B582" t="s">
        <v>702</v>
      </c>
    </row>
    <row r="583" spans="1:2" x14ac:dyDescent="0.25">
      <c r="A583" s="1" t="s">
        <v>3240</v>
      </c>
      <c r="B583" t="s">
        <v>703</v>
      </c>
    </row>
    <row r="584" spans="1:2" x14ac:dyDescent="0.25">
      <c r="A584" s="1" t="s">
        <v>3241</v>
      </c>
      <c r="B584" t="s">
        <v>705</v>
      </c>
    </row>
    <row r="585" spans="1:2" x14ac:dyDescent="0.25">
      <c r="A585" s="1" t="s">
        <v>3242</v>
      </c>
      <c r="B585" t="s">
        <v>706</v>
      </c>
    </row>
    <row r="586" spans="1:2" x14ac:dyDescent="0.25">
      <c r="A586" s="1" t="s">
        <v>3243</v>
      </c>
      <c r="B586" t="s">
        <v>707</v>
      </c>
    </row>
    <row r="587" spans="1:2" x14ac:dyDescent="0.25">
      <c r="A587" s="1" t="s">
        <v>3244</v>
      </c>
      <c r="B587" t="s">
        <v>708</v>
      </c>
    </row>
    <row r="588" spans="1:2" x14ac:dyDescent="0.25">
      <c r="A588" s="1" t="s">
        <v>3245</v>
      </c>
      <c r="B588" t="s">
        <v>709</v>
      </c>
    </row>
    <row r="589" spans="1:2" x14ac:dyDescent="0.25">
      <c r="A589" s="1" t="s">
        <v>3246</v>
      </c>
      <c r="B589" t="s">
        <v>710</v>
      </c>
    </row>
    <row r="590" spans="1:2" x14ac:dyDescent="0.25">
      <c r="A590" s="1" t="s">
        <v>3247</v>
      </c>
      <c r="B590" t="s">
        <v>711</v>
      </c>
    </row>
    <row r="591" spans="1:2" x14ac:dyDescent="0.25">
      <c r="A591" s="1" t="s">
        <v>3248</v>
      </c>
      <c r="B591" t="s">
        <v>712</v>
      </c>
    </row>
    <row r="592" spans="1:2" x14ac:dyDescent="0.25">
      <c r="A592" s="1" t="s">
        <v>3249</v>
      </c>
      <c r="B592" t="s">
        <v>714</v>
      </c>
    </row>
    <row r="593" spans="1:2" x14ac:dyDescent="0.25">
      <c r="A593" s="1" t="s">
        <v>3250</v>
      </c>
      <c r="B593" t="s">
        <v>716</v>
      </c>
    </row>
    <row r="594" spans="1:2" x14ac:dyDescent="0.25">
      <c r="A594" s="1" t="s">
        <v>3251</v>
      </c>
      <c r="B594" t="s">
        <v>717</v>
      </c>
    </row>
    <row r="595" spans="1:2" x14ac:dyDescent="0.25">
      <c r="A595" s="1" t="s">
        <v>3252</v>
      </c>
      <c r="B595" t="s">
        <v>718</v>
      </c>
    </row>
    <row r="596" spans="1:2" x14ac:dyDescent="0.25">
      <c r="A596" s="1" t="s">
        <v>3253</v>
      </c>
      <c r="B596" t="s">
        <v>719</v>
      </c>
    </row>
    <row r="597" spans="1:2" x14ac:dyDescent="0.25">
      <c r="A597" s="1" t="s">
        <v>3254</v>
      </c>
      <c r="B597" t="s">
        <v>720</v>
      </c>
    </row>
    <row r="598" spans="1:2" x14ac:dyDescent="0.25">
      <c r="A598" s="1" t="s">
        <v>3255</v>
      </c>
      <c r="B598" t="s">
        <v>721</v>
      </c>
    </row>
    <row r="599" spans="1:2" x14ac:dyDescent="0.25">
      <c r="A599" s="1" t="s">
        <v>3256</v>
      </c>
      <c r="B599" t="s">
        <v>722</v>
      </c>
    </row>
    <row r="600" spans="1:2" x14ac:dyDescent="0.25">
      <c r="A600" s="1" t="s">
        <v>3257</v>
      </c>
      <c r="B600" t="s">
        <v>723</v>
      </c>
    </row>
    <row r="601" spans="1:2" x14ac:dyDescent="0.25">
      <c r="A601" s="1" t="s">
        <v>3258</v>
      </c>
      <c r="B601" t="s">
        <v>724</v>
      </c>
    </row>
    <row r="602" spans="1:2" x14ac:dyDescent="0.25">
      <c r="A602" s="1" t="s">
        <v>3259</v>
      </c>
      <c r="B602" t="s">
        <v>725</v>
      </c>
    </row>
    <row r="603" spans="1:2" x14ac:dyDescent="0.25">
      <c r="A603" s="1" t="s">
        <v>3260</v>
      </c>
      <c r="B603" t="s">
        <v>727</v>
      </c>
    </row>
    <row r="604" spans="1:2" x14ac:dyDescent="0.25">
      <c r="A604" s="1" t="s">
        <v>3261</v>
      </c>
      <c r="B604" t="s">
        <v>728</v>
      </c>
    </row>
    <row r="605" spans="1:2" x14ac:dyDescent="0.25">
      <c r="A605" s="1" t="s">
        <v>3262</v>
      </c>
      <c r="B605" t="s">
        <v>729</v>
      </c>
    </row>
    <row r="606" spans="1:2" x14ac:dyDescent="0.25">
      <c r="A606" s="1" t="s">
        <v>3263</v>
      </c>
      <c r="B606" t="s">
        <v>730</v>
      </c>
    </row>
    <row r="607" spans="1:2" x14ac:dyDescent="0.25">
      <c r="A607" s="1" t="s">
        <v>3264</v>
      </c>
      <c r="B607" t="s">
        <v>731</v>
      </c>
    </row>
    <row r="608" spans="1:2" x14ac:dyDescent="0.25">
      <c r="A608" s="1" t="s">
        <v>3265</v>
      </c>
      <c r="B608" t="s">
        <v>733</v>
      </c>
    </row>
    <row r="609" spans="1:2" x14ac:dyDescent="0.25">
      <c r="A609" s="1" t="s">
        <v>3266</v>
      </c>
      <c r="B609" t="s">
        <v>734</v>
      </c>
    </row>
    <row r="610" spans="1:2" x14ac:dyDescent="0.25">
      <c r="A610" s="1" t="s">
        <v>3267</v>
      </c>
      <c r="B610" t="s">
        <v>735</v>
      </c>
    </row>
    <row r="611" spans="1:2" x14ac:dyDescent="0.25">
      <c r="A611" s="1" t="s">
        <v>3268</v>
      </c>
      <c r="B611" t="s">
        <v>736</v>
      </c>
    </row>
    <row r="612" spans="1:2" x14ac:dyDescent="0.25">
      <c r="A612" s="1" t="s">
        <v>3269</v>
      </c>
      <c r="B612" t="s">
        <v>737</v>
      </c>
    </row>
    <row r="613" spans="1:2" x14ac:dyDescent="0.25">
      <c r="A613" s="1" t="s">
        <v>3270</v>
      </c>
      <c r="B613" t="s">
        <v>739</v>
      </c>
    </row>
    <row r="614" spans="1:2" x14ac:dyDescent="0.25">
      <c r="A614" s="1" t="s">
        <v>3271</v>
      </c>
      <c r="B614" t="s">
        <v>740</v>
      </c>
    </row>
    <row r="615" spans="1:2" x14ac:dyDescent="0.25">
      <c r="A615" s="1" t="s">
        <v>3272</v>
      </c>
      <c r="B615" t="s">
        <v>741</v>
      </c>
    </row>
    <row r="616" spans="1:2" x14ac:dyDescent="0.25">
      <c r="A616" s="1" t="s">
        <v>3273</v>
      </c>
      <c r="B616" t="s">
        <v>742</v>
      </c>
    </row>
    <row r="617" spans="1:2" x14ac:dyDescent="0.25">
      <c r="A617" s="1" t="s">
        <v>3274</v>
      </c>
      <c r="B617" t="s">
        <v>743</v>
      </c>
    </row>
    <row r="618" spans="1:2" x14ac:dyDescent="0.25">
      <c r="A618" s="1" t="s">
        <v>3275</v>
      </c>
      <c r="B618" t="s">
        <v>744</v>
      </c>
    </row>
    <row r="619" spans="1:2" x14ac:dyDescent="0.25">
      <c r="A619" s="1" t="s">
        <v>3276</v>
      </c>
      <c r="B619" t="s">
        <v>745</v>
      </c>
    </row>
    <row r="620" spans="1:2" x14ac:dyDescent="0.25">
      <c r="A620" s="1" t="s">
        <v>3277</v>
      </c>
      <c r="B620" t="s">
        <v>746</v>
      </c>
    </row>
    <row r="621" spans="1:2" x14ac:dyDescent="0.25">
      <c r="A621" s="1" t="s">
        <v>3278</v>
      </c>
      <c r="B621" t="s">
        <v>747</v>
      </c>
    </row>
    <row r="622" spans="1:2" x14ac:dyDescent="0.25">
      <c r="A622" s="1" t="s">
        <v>3279</v>
      </c>
      <c r="B622" t="s">
        <v>748</v>
      </c>
    </row>
    <row r="623" spans="1:2" x14ac:dyDescent="0.25">
      <c r="A623" s="1" t="s">
        <v>3280</v>
      </c>
      <c r="B623" t="s">
        <v>749</v>
      </c>
    </row>
    <row r="624" spans="1:2" x14ac:dyDescent="0.25">
      <c r="A624" s="1" t="s">
        <v>3281</v>
      </c>
      <c r="B624" t="s">
        <v>751</v>
      </c>
    </row>
    <row r="625" spans="1:2" x14ac:dyDescent="0.25">
      <c r="A625" s="1" t="s">
        <v>3282</v>
      </c>
      <c r="B625" t="s">
        <v>752</v>
      </c>
    </row>
    <row r="626" spans="1:2" x14ac:dyDescent="0.25">
      <c r="A626" s="1" t="s">
        <v>3283</v>
      </c>
      <c r="B626" t="s">
        <v>753</v>
      </c>
    </row>
    <row r="627" spans="1:2" x14ac:dyDescent="0.25">
      <c r="A627" s="1" t="s">
        <v>3284</v>
      </c>
      <c r="B627" t="s">
        <v>754</v>
      </c>
    </row>
    <row r="628" spans="1:2" x14ac:dyDescent="0.25">
      <c r="A628" s="1" t="s">
        <v>3285</v>
      </c>
      <c r="B628" t="s">
        <v>755</v>
      </c>
    </row>
    <row r="629" spans="1:2" x14ac:dyDescent="0.25">
      <c r="A629" s="1" t="s">
        <v>3286</v>
      </c>
      <c r="B629" t="s">
        <v>757</v>
      </c>
    </row>
    <row r="630" spans="1:2" x14ac:dyDescent="0.25">
      <c r="A630" s="1" t="s">
        <v>3287</v>
      </c>
      <c r="B630" t="s">
        <v>758</v>
      </c>
    </row>
    <row r="631" spans="1:2" x14ac:dyDescent="0.25">
      <c r="A631" s="1" t="s">
        <v>3288</v>
      </c>
      <c r="B631" t="s">
        <v>759</v>
      </c>
    </row>
    <row r="632" spans="1:2" x14ac:dyDescent="0.25">
      <c r="A632" s="1" t="s">
        <v>3289</v>
      </c>
      <c r="B632" t="s">
        <v>760</v>
      </c>
    </row>
    <row r="633" spans="1:2" x14ac:dyDescent="0.25">
      <c r="A633" s="1" t="s">
        <v>3290</v>
      </c>
      <c r="B633" t="s">
        <v>762</v>
      </c>
    </row>
    <row r="634" spans="1:2" x14ac:dyDescent="0.25">
      <c r="A634" s="1" t="s">
        <v>3291</v>
      </c>
      <c r="B634" t="s">
        <v>42</v>
      </c>
    </row>
    <row r="635" spans="1:2" x14ac:dyDescent="0.25">
      <c r="A635" s="1" t="s">
        <v>3292</v>
      </c>
      <c r="B635" t="s">
        <v>42</v>
      </c>
    </row>
    <row r="636" spans="1:2" x14ac:dyDescent="0.25">
      <c r="A636" s="1" t="s">
        <v>3293</v>
      </c>
      <c r="B636" t="s">
        <v>764</v>
      </c>
    </row>
    <row r="637" spans="1:2" x14ac:dyDescent="0.25">
      <c r="A637" s="1" t="s">
        <v>3294</v>
      </c>
      <c r="B637" t="s">
        <v>765</v>
      </c>
    </row>
    <row r="638" spans="1:2" x14ac:dyDescent="0.25">
      <c r="A638" s="1" t="s">
        <v>3295</v>
      </c>
      <c r="B638" t="s">
        <v>767</v>
      </c>
    </row>
    <row r="639" spans="1:2" x14ac:dyDescent="0.25">
      <c r="A639" s="1" t="s">
        <v>3296</v>
      </c>
      <c r="B639" t="s">
        <v>768</v>
      </c>
    </row>
    <row r="640" spans="1:2" x14ac:dyDescent="0.25">
      <c r="A640" s="1" t="s">
        <v>3297</v>
      </c>
      <c r="B640" t="s">
        <v>770</v>
      </c>
    </row>
    <row r="641" spans="1:2" x14ac:dyDescent="0.25">
      <c r="A641" s="1" t="s">
        <v>3298</v>
      </c>
      <c r="B641" t="s">
        <v>771</v>
      </c>
    </row>
    <row r="642" spans="1:2" x14ac:dyDescent="0.25">
      <c r="A642" s="1" t="s">
        <v>3299</v>
      </c>
      <c r="B642" t="s">
        <v>772</v>
      </c>
    </row>
    <row r="643" spans="1:2" x14ac:dyDescent="0.25">
      <c r="A643" s="1" t="s">
        <v>3300</v>
      </c>
      <c r="B643" t="s">
        <v>773</v>
      </c>
    </row>
    <row r="644" spans="1:2" x14ac:dyDescent="0.25">
      <c r="A644" s="1" t="s">
        <v>3301</v>
      </c>
      <c r="B644" t="s">
        <v>775</v>
      </c>
    </row>
    <row r="645" spans="1:2" x14ac:dyDescent="0.25">
      <c r="A645" s="1" t="s">
        <v>3302</v>
      </c>
      <c r="B645" t="s">
        <v>776</v>
      </c>
    </row>
    <row r="646" spans="1:2" x14ac:dyDescent="0.25">
      <c r="A646" s="1" t="s">
        <v>3303</v>
      </c>
      <c r="B646" t="s">
        <v>777</v>
      </c>
    </row>
    <row r="647" spans="1:2" x14ac:dyDescent="0.25">
      <c r="A647" s="1" t="s">
        <v>3304</v>
      </c>
      <c r="B647" t="s">
        <v>778</v>
      </c>
    </row>
    <row r="648" spans="1:2" x14ac:dyDescent="0.25">
      <c r="A648" s="1" t="s">
        <v>3305</v>
      </c>
      <c r="B648" t="s">
        <v>780</v>
      </c>
    </row>
    <row r="649" spans="1:2" x14ac:dyDescent="0.25">
      <c r="A649" s="1" t="s">
        <v>3306</v>
      </c>
      <c r="B649" t="s">
        <v>781</v>
      </c>
    </row>
    <row r="650" spans="1:2" x14ac:dyDescent="0.25">
      <c r="A650" s="1" t="s">
        <v>3307</v>
      </c>
      <c r="B650" t="s">
        <v>782</v>
      </c>
    </row>
    <row r="651" spans="1:2" x14ac:dyDescent="0.25">
      <c r="A651" s="1" t="s">
        <v>3308</v>
      </c>
      <c r="B651" t="s">
        <v>783</v>
      </c>
    </row>
    <row r="652" spans="1:2" x14ac:dyDescent="0.25">
      <c r="A652" s="1" t="s">
        <v>3309</v>
      </c>
      <c r="B652" t="s">
        <v>785</v>
      </c>
    </row>
    <row r="653" spans="1:2" x14ac:dyDescent="0.25">
      <c r="A653" s="1" t="s">
        <v>3310</v>
      </c>
      <c r="B653" t="s">
        <v>786</v>
      </c>
    </row>
    <row r="654" spans="1:2" x14ac:dyDescent="0.25">
      <c r="A654" s="1" t="s">
        <v>3311</v>
      </c>
      <c r="B654" t="s">
        <v>787</v>
      </c>
    </row>
    <row r="655" spans="1:2" x14ac:dyDescent="0.25">
      <c r="A655" s="1" t="s">
        <v>3312</v>
      </c>
      <c r="B655" t="s">
        <v>788</v>
      </c>
    </row>
    <row r="656" spans="1:2" x14ac:dyDescent="0.25">
      <c r="A656" s="1" t="s">
        <v>3313</v>
      </c>
      <c r="B656" t="s">
        <v>790</v>
      </c>
    </row>
    <row r="657" spans="1:2" x14ac:dyDescent="0.25">
      <c r="A657" s="1" t="s">
        <v>3314</v>
      </c>
      <c r="B657" t="s">
        <v>791</v>
      </c>
    </row>
    <row r="658" spans="1:2" x14ac:dyDescent="0.25">
      <c r="A658" s="1" t="s">
        <v>3315</v>
      </c>
      <c r="B658" t="s">
        <v>792</v>
      </c>
    </row>
    <row r="659" spans="1:2" x14ac:dyDescent="0.25">
      <c r="A659" s="1" t="s">
        <v>3316</v>
      </c>
      <c r="B659" t="s">
        <v>793</v>
      </c>
    </row>
    <row r="660" spans="1:2" x14ac:dyDescent="0.25">
      <c r="A660" s="1" t="s">
        <v>3317</v>
      </c>
      <c r="B660" t="s">
        <v>794</v>
      </c>
    </row>
    <row r="661" spans="1:2" x14ac:dyDescent="0.25">
      <c r="A661" s="1" t="s">
        <v>3318</v>
      </c>
      <c r="B661" t="s">
        <v>795</v>
      </c>
    </row>
    <row r="662" spans="1:2" x14ac:dyDescent="0.25">
      <c r="A662" s="1" t="s">
        <v>3319</v>
      </c>
      <c r="B662" t="s">
        <v>796</v>
      </c>
    </row>
    <row r="663" spans="1:2" x14ac:dyDescent="0.25">
      <c r="A663" s="1" t="s">
        <v>3320</v>
      </c>
      <c r="B663" t="s">
        <v>797</v>
      </c>
    </row>
    <row r="664" spans="1:2" x14ac:dyDescent="0.25">
      <c r="A664" s="1" t="s">
        <v>3321</v>
      </c>
      <c r="B664" t="s">
        <v>798</v>
      </c>
    </row>
    <row r="665" spans="1:2" x14ac:dyDescent="0.25">
      <c r="A665" s="1" t="s">
        <v>3322</v>
      </c>
      <c r="B665" t="s">
        <v>799</v>
      </c>
    </row>
    <row r="666" spans="1:2" x14ac:dyDescent="0.25">
      <c r="A666" s="1" t="s">
        <v>3323</v>
      </c>
      <c r="B666" t="s">
        <v>800</v>
      </c>
    </row>
    <row r="667" spans="1:2" x14ac:dyDescent="0.25">
      <c r="A667" s="1" t="s">
        <v>3324</v>
      </c>
      <c r="B667" t="s">
        <v>802</v>
      </c>
    </row>
    <row r="668" spans="1:2" x14ac:dyDescent="0.25">
      <c r="A668" s="1" t="s">
        <v>3325</v>
      </c>
      <c r="B668" t="s">
        <v>803</v>
      </c>
    </row>
    <row r="669" spans="1:2" x14ac:dyDescent="0.25">
      <c r="A669" s="1" t="s">
        <v>3326</v>
      </c>
      <c r="B669" t="s">
        <v>804</v>
      </c>
    </row>
    <row r="670" spans="1:2" x14ac:dyDescent="0.25">
      <c r="A670" s="1" t="s">
        <v>3327</v>
      </c>
      <c r="B670" t="s">
        <v>805</v>
      </c>
    </row>
    <row r="671" spans="1:2" x14ac:dyDescent="0.25">
      <c r="A671" s="1" t="s">
        <v>3328</v>
      </c>
      <c r="B671" t="s">
        <v>806</v>
      </c>
    </row>
    <row r="672" spans="1:2" x14ac:dyDescent="0.25">
      <c r="A672" s="1" t="s">
        <v>3329</v>
      </c>
      <c r="B672" t="s">
        <v>807</v>
      </c>
    </row>
    <row r="673" spans="1:2" x14ac:dyDescent="0.25">
      <c r="A673" s="1" t="s">
        <v>3330</v>
      </c>
      <c r="B673" t="s">
        <v>767</v>
      </c>
    </row>
    <row r="674" spans="1:2" x14ac:dyDescent="0.25">
      <c r="A674" s="1" t="s">
        <v>3331</v>
      </c>
      <c r="B674" t="s">
        <v>808</v>
      </c>
    </row>
    <row r="675" spans="1:2" x14ac:dyDescent="0.25">
      <c r="A675" s="1" t="s">
        <v>3332</v>
      </c>
      <c r="B675" t="s">
        <v>42</v>
      </c>
    </row>
    <row r="676" spans="1:2" x14ac:dyDescent="0.25">
      <c r="A676" s="1" t="s">
        <v>3333</v>
      </c>
      <c r="B676" t="s">
        <v>814</v>
      </c>
    </row>
    <row r="677" spans="1:2" x14ac:dyDescent="0.25">
      <c r="A677" s="1" t="s">
        <v>3334</v>
      </c>
      <c r="B677" t="s">
        <v>815</v>
      </c>
    </row>
    <row r="678" spans="1:2" x14ac:dyDescent="0.25">
      <c r="A678" s="1" t="s">
        <v>3335</v>
      </c>
      <c r="B678" t="s">
        <v>816</v>
      </c>
    </row>
    <row r="679" spans="1:2" x14ac:dyDescent="0.25">
      <c r="A679" s="1" t="s">
        <v>3336</v>
      </c>
      <c r="B679" t="s">
        <v>817</v>
      </c>
    </row>
    <row r="680" spans="1:2" x14ac:dyDescent="0.25">
      <c r="A680" s="1" t="s">
        <v>3337</v>
      </c>
      <c r="B680" t="s">
        <v>819</v>
      </c>
    </row>
    <row r="681" spans="1:2" x14ac:dyDescent="0.25">
      <c r="A681" s="1" t="s">
        <v>3338</v>
      </c>
      <c r="B681" t="s">
        <v>820</v>
      </c>
    </row>
    <row r="682" spans="1:2" x14ac:dyDescent="0.25">
      <c r="A682" s="1" t="s">
        <v>3339</v>
      </c>
      <c r="B682" t="s">
        <v>821</v>
      </c>
    </row>
    <row r="683" spans="1:2" x14ac:dyDescent="0.25">
      <c r="A683" s="1" t="s">
        <v>3340</v>
      </c>
      <c r="B683" t="s">
        <v>822</v>
      </c>
    </row>
    <row r="684" spans="1:2" x14ac:dyDescent="0.25">
      <c r="A684" s="1" t="s">
        <v>3341</v>
      </c>
      <c r="B684" t="s">
        <v>823</v>
      </c>
    </row>
    <row r="685" spans="1:2" x14ac:dyDescent="0.25">
      <c r="A685" s="1" t="s">
        <v>3342</v>
      </c>
      <c r="B685" t="s">
        <v>824</v>
      </c>
    </row>
    <row r="686" spans="1:2" x14ac:dyDescent="0.25">
      <c r="A686" s="1" t="s">
        <v>3343</v>
      </c>
      <c r="B686" t="s">
        <v>825</v>
      </c>
    </row>
    <row r="687" spans="1:2" x14ac:dyDescent="0.25">
      <c r="A687" s="1" t="s">
        <v>3344</v>
      </c>
      <c r="B687" t="s">
        <v>826</v>
      </c>
    </row>
    <row r="688" spans="1:2" x14ac:dyDescent="0.25">
      <c r="A688" s="1" t="s">
        <v>3345</v>
      </c>
      <c r="B688" t="s">
        <v>827</v>
      </c>
    </row>
    <row r="689" spans="1:2" x14ac:dyDescent="0.25">
      <c r="A689" s="1" t="s">
        <v>3346</v>
      </c>
      <c r="B689" t="s">
        <v>828</v>
      </c>
    </row>
    <row r="690" spans="1:2" x14ac:dyDescent="0.25">
      <c r="A690" s="1" t="s">
        <v>3347</v>
      </c>
      <c r="B690" t="s">
        <v>829</v>
      </c>
    </row>
    <row r="691" spans="1:2" x14ac:dyDescent="0.25">
      <c r="A691" s="1" t="s">
        <v>3348</v>
      </c>
      <c r="B691" t="s">
        <v>830</v>
      </c>
    </row>
    <row r="692" spans="1:2" x14ac:dyDescent="0.25">
      <c r="A692" s="1" t="s">
        <v>3349</v>
      </c>
      <c r="B692" t="s">
        <v>831</v>
      </c>
    </row>
    <row r="693" spans="1:2" x14ac:dyDescent="0.25">
      <c r="A693" s="1" t="s">
        <v>3350</v>
      </c>
      <c r="B693" t="s">
        <v>832</v>
      </c>
    </row>
    <row r="694" spans="1:2" x14ac:dyDescent="0.25">
      <c r="A694" s="1" t="s">
        <v>3351</v>
      </c>
      <c r="B694" t="s">
        <v>833</v>
      </c>
    </row>
    <row r="695" spans="1:2" x14ac:dyDescent="0.25">
      <c r="A695" s="1" t="s">
        <v>3352</v>
      </c>
      <c r="B695" t="s">
        <v>834</v>
      </c>
    </row>
    <row r="696" spans="1:2" x14ac:dyDescent="0.25">
      <c r="A696" s="1" t="s">
        <v>3353</v>
      </c>
      <c r="B696" t="s">
        <v>835</v>
      </c>
    </row>
    <row r="697" spans="1:2" x14ac:dyDescent="0.25">
      <c r="A697" s="1" t="s">
        <v>3354</v>
      </c>
      <c r="B697" t="s">
        <v>836</v>
      </c>
    </row>
    <row r="698" spans="1:2" x14ac:dyDescent="0.25">
      <c r="A698" s="1" t="s">
        <v>3355</v>
      </c>
      <c r="B698" t="s">
        <v>837</v>
      </c>
    </row>
    <row r="699" spans="1:2" x14ac:dyDescent="0.25">
      <c r="A699" s="1" t="s">
        <v>3356</v>
      </c>
      <c r="B699" t="s">
        <v>838</v>
      </c>
    </row>
    <row r="700" spans="1:2" x14ac:dyDescent="0.25">
      <c r="A700" s="1" t="s">
        <v>3357</v>
      </c>
      <c r="B700" t="s">
        <v>839</v>
      </c>
    </row>
    <row r="701" spans="1:2" x14ac:dyDescent="0.25">
      <c r="A701" s="1" t="s">
        <v>3358</v>
      </c>
      <c r="B701" t="s">
        <v>840</v>
      </c>
    </row>
    <row r="702" spans="1:2" x14ac:dyDescent="0.25">
      <c r="A702" s="1" t="s">
        <v>3359</v>
      </c>
      <c r="B702" t="s">
        <v>841</v>
      </c>
    </row>
    <row r="703" spans="1:2" x14ac:dyDescent="0.25">
      <c r="A703" s="1" t="s">
        <v>3360</v>
      </c>
      <c r="B703" t="s">
        <v>842</v>
      </c>
    </row>
    <row r="704" spans="1:2" x14ac:dyDescent="0.25">
      <c r="A704" s="1" t="s">
        <v>3361</v>
      </c>
      <c r="B704" t="s">
        <v>843</v>
      </c>
    </row>
    <row r="705" spans="1:2" x14ac:dyDescent="0.25">
      <c r="A705" s="1" t="s">
        <v>3362</v>
      </c>
      <c r="B705" t="s">
        <v>845</v>
      </c>
    </row>
    <row r="706" spans="1:2" x14ac:dyDescent="0.25">
      <c r="A706" s="1" t="s">
        <v>3363</v>
      </c>
      <c r="B706" t="s">
        <v>846</v>
      </c>
    </row>
    <row r="707" spans="1:2" x14ac:dyDescent="0.25">
      <c r="A707" s="1" t="s">
        <v>3364</v>
      </c>
      <c r="B707" t="s">
        <v>848</v>
      </c>
    </row>
    <row r="708" spans="1:2" x14ac:dyDescent="0.25">
      <c r="A708" s="1" t="s">
        <v>3365</v>
      </c>
      <c r="B708" t="s">
        <v>849</v>
      </c>
    </row>
    <row r="709" spans="1:2" x14ac:dyDescent="0.25">
      <c r="A709" s="1" t="s">
        <v>3366</v>
      </c>
      <c r="B709" t="s">
        <v>850</v>
      </c>
    </row>
    <row r="710" spans="1:2" x14ac:dyDescent="0.25">
      <c r="A710" s="1" t="s">
        <v>3367</v>
      </c>
      <c r="B710" t="s">
        <v>851</v>
      </c>
    </row>
    <row r="711" spans="1:2" x14ac:dyDescent="0.25">
      <c r="A711" s="1" t="s">
        <v>3368</v>
      </c>
      <c r="B711" t="s">
        <v>852</v>
      </c>
    </row>
    <row r="712" spans="1:2" x14ac:dyDescent="0.25">
      <c r="A712" s="1" t="s">
        <v>3369</v>
      </c>
      <c r="B712" t="s">
        <v>854</v>
      </c>
    </row>
    <row r="713" spans="1:2" x14ac:dyDescent="0.25">
      <c r="A713" s="1" t="s">
        <v>3370</v>
      </c>
      <c r="B713" t="s">
        <v>856</v>
      </c>
    </row>
    <row r="714" spans="1:2" x14ac:dyDescent="0.25">
      <c r="A714" s="1" t="s">
        <v>3371</v>
      </c>
      <c r="B714" t="s">
        <v>857</v>
      </c>
    </row>
    <row r="715" spans="1:2" x14ac:dyDescent="0.25">
      <c r="A715" s="1" t="s">
        <v>3372</v>
      </c>
      <c r="B715" t="s">
        <v>858</v>
      </c>
    </row>
    <row r="716" spans="1:2" x14ac:dyDescent="0.25">
      <c r="A716" s="1" t="s">
        <v>3373</v>
      </c>
      <c r="B716" t="s">
        <v>859</v>
      </c>
    </row>
    <row r="717" spans="1:2" x14ac:dyDescent="0.25">
      <c r="A717" s="1" t="s">
        <v>3374</v>
      </c>
      <c r="B717" t="s">
        <v>860</v>
      </c>
    </row>
    <row r="718" spans="1:2" x14ac:dyDescent="0.25">
      <c r="A718" s="1" t="s">
        <v>3375</v>
      </c>
      <c r="B718" t="s">
        <v>862</v>
      </c>
    </row>
    <row r="719" spans="1:2" x14ac:dyDescent="0.25">
      <c r="A719" s="1" t="s">
        <v>3376</v>
      </c>
      <c r="B719" t="s">
        <v>863</v>
      </c>
    </row>
    <row r="720" spans="1:2" x14ac:dyDescent="0.25">
      <c r="A720" s="1" t="s">
        <v>3377</v>
      </c>
      <c r="B720" t="s">
        <v>864</v>
      </c>
    </row>
    <row r="721" spans="1:2" x14ac:dyDescent="0.25">
      <c r="A721" s="1" t="s">
        <v>3378</v>
      </c>
      <c r="B721" t="s">
        <v>865</v>
      </c>
    </row>
    <row r="722" spans="1:2" x14ac:dyDescent="0.25">
      <c r="A722" s="1" t="s">
        <v>3379</v>
      </c>
      <c r="B722" t="s">
        <v>866</v>
      </c>
    </row>
    <row r="723" spans="1:2" x14ac:dyDescent="0.25">
      <c r="A723" s="1" t="s">
        <v>3380</v>
      </c>
      <c r="B723" t="s">
        <v>867</v>
      </c>
    </row>
    <row r="724" spans="1:2" x14ac:dyDescent="0.25">
      <c r="A724" s="1" t="s">
        <v>3381</v>
      </c>
      <c r="B724" t="s">
        <v>868</v>
      </c>
    </row>
    <row r="725" spans="1:2" x14ac:dyDescent="0.25">
      <c r="A725" s="1" t="s">
        <v>3382</v>
      </c>
      <c r="B725" t="s">
        <v>871</v>
      </c>
    </row>
    <row r="726" spans="1:2" x14ac:dyDescent="0.25">
      <c r="A726" s="1" t="s">
        <v>3383</v>
      </c>
      <c r="B726" t="s">
        <v>872</v>
      </c>
    </row>
    <row r="727" spans="1:2" x14ac:dyDescent="0.25">
      <c r="A727" s="1" t="s">
        <v>3384</v>
      </c>
      <c r="B727" t="s">
        <v>873</v>
      </c>
    </row>
    <row r="728" spans="1:2" x14ac:dyDescent="0.25">
      <c r="A728" s="1" t="s">
        <v>3385</v>
      </c>
      <c r="B728" t="s">
        <v>874</v>
      </c>
    </row>
    <row r="729" spans="1:2" x14ac:dyDescent="0.25">
      <c r="A729" s="1" t="s">
        <v>3386</v>
      </c>
      <c r="B729" t="s">
        <v>877</v>
      </c>
    </row>
    <row r="730" spans="1:2" x14ac:dyDescent="0.25">
      <c r="A730" s="1" t="s">
        <v>3387</v>
      </c>
      <c r="B730" t="s">
        <v>878</v>
      </c>
    </row>
    <row r="731" spans="1:2" x14ac:dyDescent="0.25">
      <c r="A731" s="1" t="s">
        <v>3388</v>
      </c>
      <c r="B731" t="s">
        <v>879</v>
      </c>
    </row>
    <row r="732" spans="1:2" x14ac:dyDescent="0.25">
      <c r="A732" s="1" t="s">
        <v>3389</v>
      </c>
      <c r="B732" t="s">
        <v>880</v>
      </c>
    </row>
    <row r="733" spans="1:2" x14ac:dyDescent="0.25">
      <c r="A733" s="1" t="s">
        <v>3390</v>
      </c>
      <c r="B733" t="s">
        <v>881</v>
      </c>
    </row>
    <row r="734" spans="1:2" x14ac:dyDescent="0.25">
      <c r="A734" s="1" t="s">
        <v>3391</v>
      </c>
      <c r="B734" t="s">
        <v>882</v>
      </c>
    </row>
    <row r="735" spans="1:2" x14ac:dyDescent="0.25">
      <c r="A735" s="1" t="s">
        <v>3392</v>
      </c>
      <c r="B735" t="s">
        <v>885</v>
      </c>
    </row>
    <row r="736" spans="1:2" x14ac:dyDescent="0.25">
      <c r="A736" s="1" t="s">
        <v>3393</v>
      </c>
      <c r="B736" t="s">
        <v>886</v>
      </c>
    </row>
    <row r="737" spans="1:2" x14ac:dyDescent="0.25">
      <c r="A737" s="1" t="s">
        <v>3394</v>
      </c>
      <c r="B737" t="s">
        <v>888</v>
      </c>
    </row>
    <row r="738" spans="1:2" x14ac:dyDescent="0.25">
      <c r="A738" s="1" t="s">
        <v>3395</v>
      </c>
      <c r="B738" t="s">
        <v>889</v>
      </c>
    </row>
    <row r="739" spans="1:2" x14ac:dyDescent="0.25">
      <c r="A739" s="1" t="s">
        <v>3396</v>
      </c>
      <c r="B739" t="s">
        <v>890</v>
      </c>
    </row>
    <row r="740" spans="1:2" x14ac:dyDescent="0.25">
      <c r="A740" s="1" t="s">
        <v>3397</v>
      </c>
      <c r="B740" t="s">
        <v>891</v>
      </c>
    </row>
    <row r="741" spans="1:2" x14ac:dyDescent="0.25">
      <c r="A741" s="1" t="s">
        <v>3398</v>
      </c>
      <c r="B741" t="s">
        <v>892</v>
      </c>
    </row>
    <row r="742" spans="1:2" x14ac:dyDescent="0.25">
      <c r="A742" s="1" t="s">
        <v>3399</v>
      </c>
      <c r="B742" t="s">
        <v>893</v>
      </c>
    </row>
    <row r="743" spans="1:2" x14ac:dyDescent="0.25">
      <c r="A743" s="1" t="s">
        <v>3400</v>
      </c>
      <c r="B743" t="s">
        <v>894</v>
      </c>
    </row>
    <row r="744" spans="1:2" x14ac:dyDescent="0.25">
      <c r="A744" s="1" t="s">
        <v>3401</v>
      </c>
      <c r="B744" t="s">
        <v>895</v>
      </c>
    </row>
    <row r="745" spans="1:2" x14ac:dyDescent="0.25">
      <c r="A745" s="1" t="s">
        <v>3402</v>
      </c>
      <c r="B745" t="s">
        <v>896</v>
      </c>
    </row>
    <row r="746" spans="1:2" x14ac:dyDescent="0.25">
      <c r="A746" s="1" t="s">
        <v>3403</v>
      </c>
      <c r="B746" t="s">
        <v>897</v>
      </c>
    </row>
    <row r="747" spans="1:2" x14ac:dyDescent="0.25">
      <c r="A747" s="1" t="s">
        <v>3404</v>
      </c>
      <c r="B747" t="s">
        <v>898</v>
      </c>
    </row>
    <row r="748" spans="1:2" x14ac:dyDescent="0.25">
      <c r="A748" s="1" t="s">
        <v>3405</v>
      </c>
      <c r="B748" t="s">
        <v>899</v>
      </c>
    </row>
    <row r="749" spans="1:2" x14ac:dyDescent="0.25">
      <c r="A749" s="1" t="s">
        <v>3406</v>
      </c>
      <c r="B749" t="s">
        <v>900</v>
      </c>
    </row>
    <row r="750" spans="1:2" x14ac:dyDescent="0.25">
      <c r="A750" s="1" t="s">
        <v>3407</v>
      </c>
      <c r="B750" t="s">
        <v>901</v>
      </c>
    </row>
    <row r="751" spans="1:2" x14ac:dyDescent="0.25">
      <c r="A751" s="1" t="s">
        <v>3408</v>
      </c>
      <c r="B751" t="s">
        <v>902</v>
      </c>
    </row>
    <row r="752" spans="1:2" x14ac:dyDescent="0.25">
      <c r="A752" s="1" t="s">
        <v>3409</v>
      </c>
      <c r="B752" t="s">
        <v>904</v>
      </c>
    </row>
    <row r="753" spans="1:2" x14ac:dyDescent="0.25">
      <c r="A753" s="1" t="s">
        <v>3410</v>
      </c>
      <c r="B753" t="s">
        <v>905</v>
      </c>
    </row>
    <row r="754" spans="1:2" x14ac:dyDescent="0.25">
      <c r="A754" s="1" t="s">
        <v>3411</v>
      </c>
      <c r="B754" t="s">
        <v>906</v>
      </c>
    </row>
    <row r="755" spans="1:2" x14ac:dyDescent="0.25">
      <c r="A755" s="1" t="s">
        <v>3412</v>
      </c>
      <c r="B755" t="s">
        <v>907</v>
      </c>
    </row>
    <row r="756" spans="1:2" x14ac:dyDescent="0.25">
      <c r="A756" s="1" t="s">
        <v>3413</v>
      </c>
      <c r="B756" t="s">
        <v>908</v>
      </c>
    </row>
    <row r="757" spans="1:2" x14ac:dyDescent="0.25">
      <c r="A757" s="1" t="s">
        <v>3414</v>
      </c>
      <c r="B757" t="s">
        <v>909</v>
      </c>
    </row>
    <row r="758" spans="1:2" x14ac:dyDescent="0.25">
      <c r="A758" s="1" t="s">
        <v>3415</v>
      </c>
      <c r="B758" t="s">
        <v>911</v>
      </c>
    </row>
    <row r="759" spans="1:2" x14ac:dyDescent="0.25">
      <c r="A759" s="1" t="s">
        <v>3416</v>
      </c>
      <c r="B759" t="s">
        <v>912</v>
      </c>
    </row>
    <row r="760" spans="1:2" x14ac:dyDescent="0.25">
      <c r="A760" s="1" t="s">
        <v>3417</v>
      </c>
      <c r="B760" t="s">
        <v>913</v>
      </c>
    </row>
    <row r="761" spans="1:2" x14ac:dyDescent="0.25">
      <c r="A761" s="1" t="s">
        <v>3418</v>
      </c>
      <c r="B761" t="s">
        <v>914</v>
      </c>
    </row>
    <row r="762" spans="1:2" x14ac:dyDescent="0.25">
      <c r="A762" s="1" t="s">
        <v>3419</v>
      </c>
      <c r="B762" t="s">
        <v>915</v>
      </c>
    </row>
    <row r="763" spans="1:2" x14ac:dyDescent="0.25">
      <c r="A763" s="1" t="s">
        <v>3420</v>
      </c>
      <c r="B763" t="s">
        <v>916</v>
      </c>
    </row>
    <row r="764" spans="1:2" x14ac:dyDescent="0.25">
      <c r="A764" s="1" t="s">
        <v>3421</v>
      </c>
      <c r="B764" t="s">
        <v>917</v>
      </c>
    </row>
    <row r="765" spans="1:2" x14ac:dyDescent="0.25">
      <c r="A765" s="1" t="s">
        <v>3422</v>
      </c>
      <c r="B765" t="s">
        <v>918</v>
      </c>
    </row>
    <row r="766" spans="1:2" x14ac:dyDescent="0.25">
      <c r="A766" s="1" t="s">
        <v>3423</v>
      </c>
      <c r="B766" t="s">
        <v>919</v>
      </c>
    </row>
    <row r="767" spans="1:2" x14ac:dyDescent="0.25">
      <c r="A767" s="1" t="s">
        <v>3424</v>
      </c>
      <c r="B767" t="s">
        <v>920</v>
      </c>
    </row>
    <row r="768" spans="1:2" x14ac:dyDescent="0.25">
      <c r="A768" s="1" t="s">
        <v>3425</v>
      </c>
      <c r="B768" t="s">
        <v>921</v>
      </c>
    </row>
    <row r="769" spans="1:2" x14ac:dyDescent="0.25">
      <c r="A769" s="1" t="s">
        <v>3426</v>
      </c>
      <c r="B769" t="s">
        <v>922</v>
      </c>
    </row>
    <row r="770" spans="1:2" x14ac:dyDescent="0.25">
      <c r="A770" s="1" t="s">
        <v>3427</v>
      </c>
      <c r="B770" t="s">
        <v>923</v>
      </c>
    </row>
    <row r="771" spans="1:2" x14ac:dyDescent="0.25">
      <c r="A771" s="1" t="s">
        <v>3428</v>
      </c>
      <c r="B771" t="s">
        <v>924</v>
      </c>
    </row>
    <row r="772" spans="1:2" x14ac:dyDescent="0.25">
      <c r="A772" s="1" t="s">
        <v>3429</v>
      </c>
      <c r="B772" t="s">
        <v>925</v>
      </c>
    </row>
    <row r="773" spans="1:2" x14ac:dyDescent="0.25">
      <c r="A773" s="1" t="s">
        <v>3430</v>
      </c>
      <c r="B773" t="s">
        <v>927</v>
      </c>
    </row>
    <row r="774" spans="1:2" x14ac:dyDescent="0.25">
      <c r="A774" s="1" t="s">
        <v>3431</v>
      </c>
      <c r="B774" t="s">
        <v>928</v>
      </c>
    </row>
    <row r="775" spans="1:2" x14ac:dyDescent="0.25">
      <c r="A775" s="1" t="s">
        <v>3432</v>
      </c>
      <c r="B775" t="s">
        <v>929</v>
      </c>
    </row>
    <row r="776" spans="1:2" x14ac:dyDescent="0.25">
      <c r="A776" s="1" t="s">
        <v>3433</v>
      </c>
      <c r="B776" t="s">
        <v>930</v>
      </c>
    </row>
    <row r="777" spans="1:2" x14ac:dyDescent="0.25">
      <c r="A777" s="1" t="s">
        <v>3434</v>
      </c>
      <c r="B777" t="s">
        <v>931</v>
      </c>
    </row>
    <row r="778" spans="1:2" x14ac:dyDescent="0.25">
      <c r="A778" s="1" t="s">
        <v>3435</v>
      </c>
      <c r="B778" t="s">
        <v>932</v>
      </c>
    </row>
    <row r="779" spans="1:2" x14ac:dyDescent="0.25">
      <c r="A779" s="1" t="s">
        <v>3436</v>
      </c>
      <c r="B779" t="s">
        <v>933</v>
      </c>
    </row>
    <row r="780" spans="1:2" x14ac:dyDescent="0.25">
      <c r="A780" s="1" t="s">
        <v>3437</v>
      </c>
      <c r="B780" t="s">
        <v>934</v>
      </c>
    </row>
    <row r="781" spans="1:2" x14ac:dyDescent="0.25">
      <c r="A781" s="1" t="s">
        <v>3438</v>
      </c>
      <c r="B781" t="s">
        <v>936</v>
      </c>
    </row>
    <row r="782" spans="1:2" x14ac:dyDescent="0.25">
      <c r="A782" s="1" t="s">
        <v>3439</v>
      </c>
      <c r="B782" t="s">
        <v>937</v>
      </c>
    </row>
    <row r="783" spans="1:2" x14ac:dyDescent="0.25">
      <c r="A783" s="1" t="s">
        <v>3440</v>
      </c>
      <c r="B783" t="s">
        <v>938</v>
      </c>
    </row>
    <row r="784" spans="1:2" x14ac:dyDescent="0.25">
      <c r="A784" s="1" t="s">
        <v>3441</v>
      </c>
      <c r="B784" t="s">
        <v>939</v>
      </c>
    </row>
    <row r="785" spans="1:2" x14ac:dyDescent="0.25">
      <c r="A785" s="1" t="s">
        <v>3442</v>
      </c>
      <c r="B785" t="s">
        <v>940</v>
      </c>
    </row>
    <row r="786" spans="1:2" x14ac:dyDescent="0.25">
      <c r="A786" s="1" t="s">
        <v>3443</v>
      </c>
      <c r="B786" t="s">
        <v>941</v>
      </c>
    </row>
    <row r="787" spans="1:2" x14ac:dyDescent="0.25">
      <c r="A787" s="1" t="s">
        <v>3444</v>
      </c>
      <c r="B787" t="s">
        <v>943</v>
      </c>
    </row>
    <row r="788" spans="1:2" x14ac:dyDescent="0.25">
      <c r="A788" s="1" t="s">
        <v>3445</v>
      </c>
      <c r="B788" t="s">
        <v>944</v>
      </c>
    </row>
    <row r="789" spans="1:2" x14ac:dyDescent="0.25">
      <c r="A789" s="1" t="s">
        <v>3446</v>
      </c>
      <c r="B789" t="s">
        <v>945</v>
      </c>
    </row>
    <row r="790" spans="1:2" x14ac:dyDescent="0.25">
      <c r="A790" s="1" t="s">
        <v>3447</v>
      </c>
      <c r="B790" t="s">
        <v>946</v>
      </c>
    </row>
    <row r="791" spans="1:2" x14ac:dyDescent="0.25">
      <c r="A791" s="1" t="s">
        <v>3448</v>
      </c>
      <c r="B791" t="s">
        <v>947</v>
      </c>
    </row>
    <row r="792" spans="1:2" x14ac:dyDescent="0.25">
      <c r="A792" s="1" t="s">
        <v>3449</v>
      </c>
      <c r="B792" t="s">
        <v>948</v>
      </c>
    </row>
    <row r="793" spans="1:2" x14ac:dyDescent="0.25">
      <c r="A793" s="1" t="s">
        <v>3450</v>
      </c>
      <c r="B793" t="s">
        <v>949</v>
      </c>
    </row>
    <row r="794" spans="1:2" x14ac:dyDescent="0.25">
      <c r="A794" s="1" t="s">
        <v>3451</v>
      </c>
      <c r="B794" t="s">
        <v>951</v>
      </c>
    </row>
    <row r="795" spans="1:2" x14ac:dyDescent="0.25">
      <c r="A795" s="1" t="s">
        <v>3452</v>
      </c>
      <c r="B795" t="s">
        <v>952</v>
      </c>
    </row>
    <row r="796" spans="1:2" x14ac:dyDescent="0.25">
      <c r="A796" s="1" t="s">
        <v>3453</v>
      </c>
      <c r="B796" t="s">
        <v>953</v>
      </c>
    </row>
    <row r="797" spans="1:2" x14ac:dyDescent="0.25">
      <c r="A797" s="1" t="s">
        <v>3454</v>
      </c>
      <c r="B797" t="s">
        <v>954</v>
      </c>
    </row>
    <row r="798" spans="1:2" x14ac:dyDescent="0.25">
      <c r="A798" s="1" t="s">
        <v>3455</v>
      </c>
      <c r="B798" t="s">
        <v>955</v>
      </c>
    </row>
    <row r="799" spans="1:2" x14ac:dyDescent="0.25">
      <c r="A799" s="1" t="s">
        <v>3456</v>
      </c>
      <c r="B799" t="s">
        <v>956</v>
      </c>
    </row>
    <row r="800" spans="1:2" x14ac:dyDescent="0.25">
      <c r="A800" s="1" t="s">
        <v>3457</v>
      </c>
      <c r="B800" t="s">
        <v>950</v>
      </c>
    </row>
    <row r="801" spans="1:2" x14ac:dyDescent="0.25">
      <c r="A801" s="1" t="s">
        <v>3458</v>
      </c>
      <c r="B801" t="s">
        <v>957</v>
      </c>
    </row>
    <row r="802" spans="1:2" x14ac:dyDescent="0.25">
      <c r="A802" s="1" t="s">
        <v>3459</v>
      </c>
      <c r="B802" t="s">
        <v>959</v>
      </c>
    </row>
    <row r="803" spans="1:2" x14ac:dyDescent="0.25">
      <c r="A803" s="1" t="s">
        <v>3460</v>
      </c>
      <c r="B803" t="s">
        <v>960</v>
      </c>
    </row>
    <row r="804" spans="1:2" x14ac:dyDescent="0.25">
      <c r="A804" s="1" t="s">
        <v>3461</v>
      </c>
      <c r="B804" t="s">
        <v>961</v>
      </c>
    </row>
    <row r="805" spans="1:2" x14ac:dyDescent="0.25">
      <c r="A805" s="1" t="s">
        <v>3462</v>
      </c>
      <c r="B805" t="s">
        <v>962</v>
      </c>
    </row>
    <row r="806" spans="1:2" x14ac:dyDescent="0.25">
      <c r="A806" s="1" t="s">
        <v>3463</v>
      </c>
      <c r="B806" t="s">
        <v>963</v>
      </c>
    </row>
    <row r="807" spans="1:2" x14ac:dyDescent="0.25">
      <c r="A807" s="1" t="s">
        <v>3464</v>
      </c>
      <c r="B807" t="s">
        <v>964</v>
      </c>
    </row>
    <row r="808" spans="1:2" x14ac:dyDescent="0.25">
      <c r="A808" s="1" t="s">
        <v>3465</v>
      </c>
      <c r="B808" t="s">
        <v>966</v>
      </c>
    </row>
    <row r="809" spans="1:2" x14ac:dyDescent="0.25">
      <c r="A809" s="1" t="s">
        <v>3466</v>
      </c>
      <c r="B809" t="s">
        <v>967</v>
      </c>
    </row>
    <row r="810" spans="1:2" x14ac:dyDescent="0.25">
      <c r="A810" s="1" t="s">
        <v>3467</v>
      </c>
      <c r="B810" t="s">
        <v>968</v>
      </c>
    </row>
    <row r="811" spans="1:2" x14ac:dyDescent="0.25">
      <c r="A811" s="1" t="s">
        <v>3468</v>
      </c>
      <c r="B811" t="s">
        <v>969</v>
      </c>
    </row>
    <row r="812" spans="1:2" x14ac:dyDescent="0.25">
      <c r="A812" s="1" t="s">
        <v>3469</v>
      </c>
      <c r="B812" t="s">
        <v>970</v>
      </c>
    </row>
    <row r="813" spans="1:2" x14ac:dyDescent="0.25">
      <c r="A813" s="1" t="s">
        <v>3470</v>
      </c>
      <c r="B813" t="s">
        <v>971</v>
      </c>
    </row>
    <row r="814" spans="1:2" x14ac:dyDescent="0.25">
      <c r="A814" s="1" t="s">
        <v>3471</v>
      </c>
      <c r="B814" t="s">
        <v>972</v>
      </c>
    </row>
    <row r="815" spans="1:2" x14ac:dyDescent="0.25">
      <c r="A815" s="1" t="s">
        <v>3472</v>
      </c>
      <c r="B815" t="s">
        <v>973</v>
      </c>
    </row>
    <row r="816" spans="1:2" x14ac:dyDescent="0.25">
      <c r="A816" s="1" t="s">
        <v>3473</v>
      </c>
      <c r="B816" t="s">
        <v>974</v>
      </c>
    </row>
    <row r="817" spans="1:2" x14ac:dyDescent="0.25">
      <c r="A817" s="1" t="s">
        <v>3474</v>
      </c>
      <c r="B817" t="s">
        <v>975</v>
      </c>
    </row>
    <row r="818" spans="1:2" x14ac:dyDescent="0.25">
      <c r="A818" s="1" t="s">
        <v>3475</v>
      </c>
      <c r="B818" t="s">
        <v>976</v>
      </c>
    </row>
    <row r="819" spans="1:2" x14ac:dyDescent="0.25">
      <c r="A819" s="1" t="s">
        <v>3476</v>
      </c>
      <c r="B819" t="s">
        <v>977</v>
      </c>
    </row>
    <row r="820" spans="1:2" x14ac:dyDescent="0.25">
      <c r="A820" s="1" t="s">
        <v>3477</v>
      </c>
      <c r="B820" t="s">
        <v>978</v>
      </c>
    </row>
    <row r="821" spans="1:2" x14ac:dyDescent="0.25">
      <c r="A821" s="1" t="s">
        <v>3478</v>
      </c>
      <c r="B821" t="s">
        <v>980</v>
      </c>
    </row>
    <row r="822" spans="1:2" x14ac:dyDescent="0.25">
      <c r="A822" s="1" t="s">
        <v>3479</v>
      </c>
      <c r="B822" t="s">
        <v>981</v>
      </c>
    </row>
    <row r="823" spans="1:2" x14ac:dyDescent="0.25">
      <c r="A823" s="1" t="s">
        <v>3480</v>
      </c>
      <c r="B823" t="s">
        <v>982</v>
      </c>
    </row>
    <row r="824" spans="1:2" x14ac:dyDescent="0.25">
      <c r="A824" s="1" t="s">
        <v>3481</v>
      </c>
      <c r="B824" t="s">
        <v>983</v>
      </c>
    </row>
    <row r="825" spans="1:2" x14ac:dyDescent="0.25">
      <c r="A825" s="1" t="s">
        <v>3482</v>
      </c>
      <c r="B825" t="s">
        <v>984</v>
      </c>
    </row>
    <row r="826" spans="1:2" x14ac:dyDescent="0.25">
      <c r="A826" s="1" t="s">
        <v>3483</v>
      </c>
      <c r="B826" t="s">
        <v>985</v>
      </c>
    </row>
    <row r="827" spans="1:2" x14ac:dyDescent="0.25">
      <c r="A827" s="1" t="s">
        <v>3484</v>
      </c>
      <c r="B827" t="s">
        <v>988</v>
      </c>
    </row>
    <row r="828" spans="1:2" x14ac:dyDescent="0.25">
      <c r="A828" s="1" t="s">
        <v>3485</v>
      </c>
      <c r="B828" t="s">
        <v>989</v>
      </c>
    </row>
    <row r="829" spans="1:2" x14ac:dyDescent="0.25">
      <c r="A829" s="1" t="s">
        <v>3486</v>
      </c>
      <c r="B829" t="s">
        <v>990</v>
      </c>
    </row>
    <row r="830" spans="1:2" x14ac:dyDescent="0.25">
      <c r="A830" s="1" t="s">
        <v>3487</v>
      </c>
      <c r="B830" t="s">
        <v>991</v>
      </c>
    </row>
    <row r="831" spans="1:2" x14ac:dyDescent="0.25">
      <c r="A831" s="1" t="s">
        <v>3488</v>
      </c>
      <c r="B831" t="s">
        <v>992</v>
      </c>
    </row>
    <row r="832" spans="1:2" x14ac:dyDescent="0.25">
      <c r="A832" s="1" t="s">
        <v>3489</v>
      </c>
      <c r="B832" t="s">
        <v>993</v>
      </c>
    </row>
    <row r="833" spans="1:2" x14ac:dyDescent="0.25">
      <c r="A833" s="1" t="s">
        <v>3490</v>
      </c>
      <c r="B833" t="s">
        <v>995</v>
      </c>
    </row>
    <row r="834" spans="1:2" x14ac:dyDescent="0.25">
      <c r="A834" s="1" t="s">
        <v>3491</v>
      </c>
      <c r="B834" t="s">
        <v>996</v>
      </c>
    </row>
    <row r="835" spans="1:2" x14ac:dyDescent="0.25">
      <c r="A835" s="1" t="s">
        <v>3492</v>
      </c>
      <c r="B835" t="s">
        <v>997</v>
      </c>
    </row>
    <row r="836" spans="1:2" x14ac:dyDescent="0.25">
      <c r="A836" s="1" t="s">
        <v>3493</v>
      </c>
      <c r="B836" t="s">
        <v>998</v>
      </c>
    </row>
    <row r="837" spans="1:2" x14ac:dyDescent="0.25">
      <c r="A837" s="1" t="s">
        <v>3494</v>
      </c>
      <c r="B837" t="s">
        <v>999</v>
      </c>
    </row>
    <row r="838" spans="1:2" x14ac:dyDescent="0.25">
      <c r="A838" s="1" t="s">
        <v>3495</v>
      </c>
      <c r="B838" t="s">
        <v>1000</v>
      </c>
    </row>
    <row r="839" spans="1:2" x14ac:dyDescent="0.25">
      <c r="A839" s="1" t="s">
        <v>3496</v>
      </c>
      <c r="B839" t="s">
        <v>1002</v>
      </c>
    </row>
    <row r="840" spans="1:2" x14ac:dyDescent="0.25">
      <c r="A840" s="1" t="s">
        <v>3497</v>
      </c>
      <c r="B840" t="s">
        <v>1003</v>
      </c>
    </row>
    <row r="841" spans="1:2" x14ac:dyDescent="0.25">
      <c r="A841" s="1" t="s">
        <v>3498</v>
      </c>
      <c r="B841" t="s">
        <v>1004</v>
      </c>
    </row>
    <row r="842" spans="1:2" x14ac:dyDescent="0.25">
      <c r="A842" s="1" t="s">
        <v>3499</v>
      </c>
      <c r="B842" t="s">
        <v>1005</v>
      </c>
    </row>
    <row r="843" spans="1:2" x14ac:dyDescent="0.25">
      <c r="A843" s="1" t="s">
        <v>3500</v>
      </c>
      <c r="B843" t="s">
        <v>1007</v>
      </c>
    </row>
    <row r="844" spans="1:2" x14ac:dyDescent="0.25">
      <c r="A844" s="1" t="s">
        <v>3501</v>
      </c>
      <c r="B844" t="s">
        <v>1008</v>
      </c>
    </row>
    <row r="845" spans="1:2" x14ac:dyDescent="0.25">
      <c r="A845" s="1" t="s">
        <v>3502</v>
      </c>
      <c r="B845" t="s">
        <v>1011</v>
      </c>
    </row>
    <row r="846" spans="1:2" x14ac:dyDescent="0.25">
      <c r="A846" s="1" t="s">
        <v>3503</v>
      </c>
      <c r="B846" t="s">
        <v>1012</v>
      </c>
    </row>
    <row r="847" spans="1:2" x14ac:dyDescent="0.25">
      <c r="A847" s="1" t="s">
        <v>3504</v>
      </c>
      <c r="B847" t="s">
        <v>1014</v>
      </c>
    </row>
    <row r="848" spans="1:2" x14ac:dyDescent="0.25">
      <c r="A848" s="1" t="s">
        <v>3505</v>
      </c>
      <c r="B848" t="s">
        <v>1015</v>
      </c>
    </row>
    <row r="849" spans="1:2" x14ac:dyDescent="0.25">
      <c r="A849" s="1" t="s">
        <v>3506</v>
      </c>
      <c r="B849" t="s">
        <v>1017</v>
      </c>
    </row>
    <row r="850" spans="1:2" x14ac:dyDescent="0.25">
      <c r="A850" s="1" t="s">
        <v>3507</v>
      </c>
      <c r="B850" t="s">
        <v>1018</v>
      </c>
    </row>
    <row r="851" spans="1:2" x14ac:dyDescent="0.25">
      <c r="A851" s="1" t="s">
        <v>3508</v>
      </c>
      <c r="B851" t="s">
        <v>1020</v>
      </c>
    </row>
    <row r="852" spans="1:2" x14ac:dyDescent="0.25">
      <c r="A852" s="1" t="s">
        <v>3509</v>
      </c>
      <c r="B852" t="s">
        <v>1021</v>
      </c>
    </row>
    <row r="853" spans="1:2" x14ac:dyDescent="0.25">
      <c r="A853" s="1" t="s">
        <v>3510</v>
      </c>
      <c r="B853" t="s">
        <v>1022</v>
      </c>
    </row>
    <row r="854" spans="1:2" x14ac:dyDescent="0.25">
      <c r="A854" s="1" t="s">
        <v>3511</v>
      </c>
      <c r="B854" t="s">
        <v>1023</v>
      </c>
    </row>
    <row r="855" spans="1:2" x14ac:dyDescent="0.25">
      <c r="A855" s="1" t="s">
        <v>3512</v>
      </c>
      <c r="B855" t="s">
        <v>1024</v>
      </c>
    </row>
    <row r="856" spans="1:2" x14ac:dyDescent="0.25">
      <c r="A856" s="1" t="s">
        <v>3513</v>
      </c>
      <c r="B856" t="s">
        <v>1025</v>
      </c>
    </row>
    <row r="857" spans="1:2" x14ac:dyDescent="0.25">
      <c r="A857" s="1" t="s">
        <v>3514</v>
      </c>
      <c r="B857" t="s">
        <v>1026</v>
      </c>
    </row>
    <row r="858" spans="1:2" x14ac:dyDescent="0.25">
      <c r="A858" s="1" t="s">
        <v>3515</v>
      </c>
      <c r="B858" t="s">
        <v>1028</v>
      </c>
    </row>
    <row r="859" spans="1:2" x14ac:dyDescent="0.25">
      <c r="A859" s="1" t="s">
        <v>3516</v>
      </c>
      <c r="B859" t="s">
        <v>1029</v>
      </c>
    </row>
    <row r="860" spans="1:2" x14ac:dyDescent="0.25">
      <c r="A860" s="1" t="s">
        <v>3517</v>
      </c>
      <c r="B860" t="s">
        <v>1030</v>
      </c>
    </row>
    <row r="861" spans="1:2" x14ac:dyDescent="0.25">
      <c r="A861" s="1" t="s">
        <v>3518</v>
      </c>
      <c r="B861" t="s">
        <v>1031</v>
      </c>
    </row>
    <row r="862" spans="1:2" x14ac:dyDescent="0.25">
      <c r="A862" s="1" t="s">
        <v>3519</v>
      </c>
      <c r="B862" t="s">
        <v>1032</v>
      </c>
    </row>
    <row r="863" spans="1:2" x14ac:dyDescent="0.25">
      <c r="A863" s="1" t="s">
        <v>3520</v>
      </c>
      <c r="B863" t="s">
        <v>1033</v>
      </c>
    </row>
    <row r="864" spans="1:2" x14ac:dyDescent="0.25">
      <c r="A864" s="1" t="s">
        <v>3521</v>
      </c>
      <c r="B864" t="s">
        <v>1035</v>
      </c>
    </row>
    <row r="865" spans="1:2" x14ac:dyDescent="0.25">
      <c r="A865" s="1" t="s">
        <v>3522</v>
      </c>
      <c r="B865" t="s">
        <v>1036</v>
      </c>
    </row>
    <row r="866" spans="1:2" x14ac:dyDescent="0.25">
      <c r="A866" s="1" t="s">
        <v>3523</v>
      </c>
      <c r="B866" t="s">
        <v>1037</v>
      </c>
    </row>
    <row r="867" spans="1:2" x14ac:dyDescent="0.25">
      <c r="A867" s="1" t="s">
        <v>3524</v>
      </c>
      <c r="B867" t="s">
        <v>1038</v>
      </c>
    </row>
    <row r="868" spans="1:2" x14ac:dyDescent="0.25">
      <c r="A868" s="1" t="s">
        <v>3525</v>
      </c>
      <c r="B868" t="s">
        <v>42</v>
      </c>
    </row>
    <row r="869" spans="1:2" x14ac:dyDescent="0.25">
      <c r="A869" s="1" t="s">
        <v>3526</v>
      </c>
      <c r="B869" t="s">
        <v>1039</v>
      </c>
    </row>
    <row r="870" spans="1:2" x14ac:dyDescent="0.25">
      <c r="A870" s="1" t="s">
        <v>3527</v>
      </c>
      <c r="B870" t="s">
        <v>1042</v>
      </c>
    </row>
    <row r="871" spans="1:2" x14ac:dyDescent="0.25">
      <c r="A871" s="1" t="s">
        <v>3528</v>
      </c>
      <c r="B871" t="s">
        <v>1043</v>
      </c>
    </row>
    <row r="872" spans="1:2" x14ac:dyDescent="0.25">
      <c r="A872" s="1" t="s">
        <v>3529</v>
      </c>
      <c r="B872" t="s">
        <v>1044</v>
      </c>
    </row>
    <row r="873" spans="1:2" x14ac:dyDescent="0.25">
      <c r="A873" s="1" t="s">
        <v>3530</v>
      </c>
      <c r="B873" t="s">
        <v>1045</v>
      </c>
    </row>
    <row r="874" spans="1:2" x14ac:dyDescent="0.25">
      <c r="A874" s="1" t="s">
        <v>3531</v>
      </c>
      <c r="B874" t="s">
        <v>1046</v>
      </c>
    </row>
    <row r="875" spans="1:2" x14ac:dyDescent="0.25">
      <c r="A875" s="1" t="s">
        <v>3532</v>
      </c>
      <c r="B875" t="s">
        <v>1047</v>
      </c>
    </row>
    <row r="876" spans="1:2" x14ac:dyDescent="0.25">
      <c r="A876" s="1" t="s">
        <v>3533</v>
      </c>
      <c r="B876" t="s">
        <v>1048</v>
      </c>
    </row>
    <row r="877" spans="1:2" x14ac:dyDescent="0.25">
      <c r="A877" s="1" t="s">
        <v>3534</v>
      </c>
      <c r="B877" t="s">
        <v>1049</v>
      </c>
    </row>
    <row r="878" spans="1:2" x14ac:dyDescent="0.25">
      <c r="A878" s="1" t="s">
        <v>3535</v>
      </c>
      <c r="B878" t="s">
        <v>1051</v>
      </c>
    </row>
    <row r="879" spans="1:2" x14ac:dyDescent="0.25">
      <c r="A879" s="1" t="s">
        <v>3536</v>
      </c>
      <c r="B879" t="s">
        <v>1052</v>
      </c>
    </row>
    <row r="880" spans="1:2" x14ac:dyDescent="0.25">
      <c r="A880" s="1" t="s">
        <v>3537</v>
      </c>
      <c r="B880" t="s">
        <v>1053</v>
      </c>
    </row>
    <row r="881" spans="1:2" x14ac:dyDescent="0.25">
      <c r="A881" s="1" t="s">
        <v>3538</v>
      </c>
      <c r="B881" t="s">
        <v>1054</v>
      </c>
    </row>
    <row r="882" spans="1:2" x14ac:dyDescent="0.25">
      <c r="A882" s="1" t="s">
        <v>3539</v>
      </c>
      <c r="B882" t="s">
        <v>1055</v>
      </c>
    </row>
    <row r="883" spans="1:2" x14ac:dyDescent="0.25">
      <c r="A883" s="1" t="s">
        <v>3540</v>
      </c>
      <c r="B883" t="s">
        <v>1056</v>
      </c>
    </row>
    <row r="884" spans="1:2" x14ac:dyDescent="0.25">
      <c r="A884" s="1" t="s">
        <v>3541</v>
      </c>
      <c r="B884" t="s">
        <v>1057</v>
      </c>
    </row>
    <row r="885" spans="1:2" x14ac:dyDescent="0.25">
      <c r="A885" s="1" t="s">
        <v>3542</v>
      </c>
      <c r="B885" t="s">
        <v>1058</v>
      </c>
    </row>
    <row r="886" spans="1:2" x14ac:dyDescent="0.25">
      <c r="A886" s="1" t="s">
        <v>3543</v>
      </c>
      <c r="B886" t="s">
        <v>1060</v>
      </c>
    </row>
    <row r="887" spans="1:2" x14ac:dyDescent="0.25">
      <c r="A887" s="1" t="s">
        <v>3544</v>
      </c>
      <c r="B887" t="s">
        <v>1061</v>
      </c>
    </row>
    <row r="888" spans="1:2" x14ac:dyDescent="0.25">
      <c r="A888" s="1" t="s">
        <v>3545</v>
      </c>
      <c r="B888" t="s">
        <v>1062</v>
      </c>
    </row>
    <row r="889" spans="1:2" x14ac:dyDescent="0.25">
      <c r="A889" s="1" t="s">
        <v>3546</v>
      </c>
      <c r="B889" t="s">
        <v>1063</v>
      </c>
    </row>
    <row r="890" spans="1:2" x14ac:dyDescent="0.25">
      <c r="A890" s="1" t="s">
        <v>3547</v>
      </c>
      <c r="B890" t="s">
        <v>1064</v>
      </c>
    </row>
    <row r="891" spans="1:2" x14ac:dyDescent="0.25">
      <c r="A891" s="1" t="s">
        <v>3548</v>
      </c>
      <c r="B891" t="s">
        <v>1065</v>
      </c>
    </row>
    <row r="892" spans="1:2" x14ac:dyDescent="0.25">
      <c r="A892" s="1" t="s">
        <v>3549</v>
      </c>
      <c r="B892" t="s">
        <v>1066</v>
      </c>
    </row>
    <row r="893" spans="1:2" x14ac:dyDescent="0.25">
      <c r="A893" s="1" t="s">
        <v>3550</v>
      </c>
      <c r="B893" t="s">
        <v>1067</v>
      </c>
    </row>
    <row r="894" spans="1:2" x14ac:dyDescent="0.25">
      <c r="A894" s="1" t="s">
        <v>3551</v>
      </c>
      <c r="B894" t="s">
        <v>1068</v>
      </c>
    </row>
    <row r="895" spans="1:2" x14ac:dyDescent="0.25">
      <c r="A895" s="1" t="s">
        <v>3552</v>
      </c>
      <c r="B895" t="s">
        <v>1069</v>
      </c>
    </row>
    <row r="896" spans="1:2" x14ac:dyDescent="0.25">
      <c r="A896" s="1" t="s">
        <v>3553</v>
      </c>
      <c r="B896" t="s">
        <v>42</v>
      </c>
    </row>
    <row r="897" spans="1:2" x14ac:dyDescent="0.25">
      <c r="A897" s="1" t="s">
        <v>3554</v>
      </c>
      <c r="B897" t="s">
        <v>1070</v>
      </c>
    </row>
    <row r="898" spans="1:2" x14ac:dyDescent="0.25">
      <c r="A898" s="1" t="s">
        <v>3555</v>
      </c>
      <c r="B898" t="s">
        <v>1071</v>
      </c>
    </row>
    <row r="899" spans="1:2" x14ac:dyDescent="0.25">
      <c r="A899" s="1" t="s">
        <v>3556</v>
      </c>
      <c r="B899" t="s">
        <v>1073</v>
      </c>
    </row>
    <row r="900" spans="1:2" x14ac:dyDescent="0.25">
      <c r="A900" s="1" t="s">
        <v>3557</v>
      </c>
      <c r="B900" t="s">
        <v>1074</v>
      </c>
    </row>
    <row r="901" spans="1:2" x14ac:dyDescent="0.25">
      <c r="A901" s="1" t="s">
        <v>3558</v>
      </c>
      <c r="B901" t="s">
        <v>1075</v>
      </c>
    </row>
    <row r="902" spans="1:2" x14ac:dyDescent="0.25">
      <c r="A902" s="1" t="s">
        <v>3559</v>
      </c>
      <c r="B902" t="s">
        <v>1076</v>
      </c>
    </row>
    <row r="903" spans="1:2" x14ac:dyDescent="0.25">
      <c r="A903" s="1" t="s">
        <v>3560</v>
      </c>
      <c r="B903" t="s">
        <v>1077</v>
      </c>
    </row>
    <row r="904" spans="1:2" x14ac:dyDescent="0.25">
      <c r="A904" s="1" t="s">
        <v>3561</v>
      </c>
      <c r="B904" t="s">
        <v>1078</v>
      </c>
    </row>
    <row r="905" spans="1:2" x14ac:dyDescent="0.25">
      <c r="A905" s="1" t="s">
        <v>3562</v>
      </c>
      <c r="B905" t="s">
        <v>1079</v>
      </c>
    </row>
    <row r="906" spans="1:2" x14ac:dyDescent="0.25">
      <c r="A906" s="1" t="s">
        <v>3563</v>
      </c>
      <c r="B906" t="s">
        <v>1080</v>
      </c>
    </row>
    <row r="907" spans="1:2" x14ac:dyDescent="0.25">
      <c r="A907" s="1" t="s">
        <v>3564</v>
      </c>
      <c r="B907" t="s">
        <v>1082</v>
      </c>
    </row>
    <row r="908" spans="1:2" x14ac:dyDescent="0.25">
      <c r="A908" s="1" t="s">
        <v>3565</v>
      </c>
      <c r="B908" t="s">
        <v>1083</v>
      </c>
    </row>
    <row r="909" spans="1:2" x14ac:dyDescent="0.25">
      <c r="A909" s="1" t="s">
        <v>3566</v>
      </c>
      <c r="B909" t="s">
        <v>1084</v>
      </c>
    </row>
    <row r="910" spans="1:2" x14ac:dyDescent="0.25">
      <c r="A910" s="1" t="s">
        <v>3567</v>
      </c>
      <c r="B910" t="s">
        <v>1085</v>
      </c>
    </row>
    <row r="911" spans="1:2" x14ac:dyDescent="0.25">
      <c r="A911" s="1" t="s">
        <v>3568</v>
      </c>
      <c r="B911" t="s">
        <v>1086</v>
      </c>
    </row>
    <row r="912" spans="1:2" x14ac:dyDescent="0.25">
      <c r="A912" s="1" t="s">
        <v>3569</v>
      </c>
      <c r="B912" t="s">
        <v>1087</v>
      </c>
    </row>
    <row r="913" spans="1:2" x14ac:dyDescent="0.25">
      <c r="A913" s="1" t="s">
        <v>3570</v>
      </c>
      <c r="B913" t="s">
        <v>1088</v>
      </c>
    </row>
    <row r="914" spans="1:2" x14ac:dyDescent="0.25">
      <c r="A914" s="1" t="s">
        <v>3571</v>
      </c>
      <c r="B914" t="s">
        <v>1089</v>
      </c>
    </row>
    <row r="915" spans="1:2" x14ac:dyDescent="0.25">
      <c r="A915" s="1" t="s">
        <v>3572</v>
      </c>
      <c r="B915" t="s">
        <v>1090</v>
      </c>
    </row>
    <row r="916" spans="1:2" x14ac:dyDescent="0.25">
      <c r="A916" s="1" t="s">
        <v>3573</v>
      </c>
      <c r="B916" t="s">
        <v>1091</v>
      </c>
    </row>
    <row r="917" spans="1:2" x14ac:dyDescent="0.25">
      <c r="A917" s="1" t="s">
        <v>3574</v>
      </c>
      <c r="B917" t="s">
        <v>1093</v>
      </c>
    </row>
    <row r="918" spans="1:2" x14ac:dyDescent="0.25">
      <c r="A918" s="1" t="s">
        <v>3575</v>
      </c>
      <c r="B918" t="s">
        <v>1094</v>
      </c>
    </row>
    <row r="919" spans="1:2" x14ac:dyDescent="0.25">
      <c r="A919" s="1" t="s">
        <v>3576</v>
      </c>
      <c r="B919" t="s">
        <v>1096</v>
      </c>
    </row>
    <row r="920" spans="1:2" x14ac:dyDescent="0.25">
      <c r="A920" s="1" t="s">
        <v>3577</v>
      </c>
      <c r="B920" t="s">
        <v>1098</v>
      </c>
    </row>
    <row r="921" spans="1:2" x14ac:dyDescent="0.25">
      <c r="A921" s="1" t="s">
        <v>3578</v>
      </c>
      <c r="B921" t="s">
        <v>1099</v>
      </c>
    </row>
    <row r="922" spans="1:2" x14ac:dyDescent="0.25">
      <c r="A922" s="1" t="s">
        <v>3579</v>
      </c>
      <c r="B922" t="s">
        <v>1100</v>
      </c>
    </row>
    <row r="923" spans="1:2" x14ac:dyDescent="0.25">
      <c r="A923" s="1" t="s">
        <v>3580</v>
      </c>
      <c r="B923" t="s">
        <v>1102</v>
      </c>
    </row>
    <row r="924" spans="1:2" x14ac:dyDescent="0.25">
      <c r="A924" s="1" t="s">
        <v>3581</v>
      </c>
      <c r="B924" t="s">
        <v>1103</v>
      </c>
    </row>
    <row r="925" spans="1:2" x14ac:dyDescent="0.25">
      <c r="A925" s="1" t="s">
        <v>3582</v>
      </c>
      <c r="B925" t="s">
        <v>1104</v>
      </c>
    </row>
    <row r="926" spans="1:2" x14ac:dyDescent="0.25">
      <c r="A926" s="1" t="s">
        <v>3583</v>
      </c>
      <c r="B926" t="s">
        <v>1105</v>
      </c>
    </row>
    <row r="927" spans="1:2" x14ac:dyDescent="0.25">
      <c r="A927" s="1" t="s">
        <v>3584</v>
      </c>
      <c r="B927" t="s">
        <v>1106</v>
      </c>
    </row>
    <row r="928" spans="1:2" x14ac:dyDescent="0.25">
      <c r="A928" s="1" t="s">
        <v>3585</v>
      </c>
      <c r="B928" t="s">
        <v>1107</v>
      </c>
    </row>
    <row r="929" spans="1:2" x14ac:dyDescent="0.25">
      <c r="A929" s="1" t="s">
        <v>3586</v>
      </c>
      <c r="B929" t="s">
        <v>1108</v>
      </c>
    </row>
    <row r="930" spans="1:2" x14ac:dyDescent="0.25">
      <c r="A930" s="1" t="s">
        <v>3587</v>
      </c>
      <c r="B930" t="s">
        <v>1109</v>
      </c>
    </row>
    <row r="931" spans="1:2" x14ac:dyDescent="0.25">
      <c r="A931" s="1" t="s">
        <v>3588</v>
      </c>
      <c r="B931" t="s">
        <v>1110</v>
      </c>
    </row>
    <row r="932" spans="1:2" x14ac:dyDescent="0.25">
      <c r="A932" s="1" t="s">
        <v>3589</v>
      </c>
      <c r="B932" t="s">
        <v>1111</v>
      </c>
    </row>
    <row r="933" spans="1:2" x14ac:dyDescent="0.25">
      <c r="A933" s="1" t="s">
        <v>3590</v>
      </c>
      <c r="B933" t="s">
        <v>1112</v>
      </c>
    </row>
    <row r="934" spans="1:2" x14ac:dyDescent="0.25">
      <c r="A934" s="1" t="s">
        <v>3591</v>
      </c>
      <c r="B934" t="s">
        <v>1113</v>
      </c>
    </row>
    <row r="935" spans="1:2" x14ac:dyDescent="0.25">
      <c r="A935" s="1" t="s">
        <v>3592</v>
      </c>
      <c r="B935" t="s">
        <v>1114</v>
      </c>
    </row>
    <row r="936" spans="1:2" x14ac:dyDescent="0.25">
      <c r="A936" s="1" t="s">
        <v>3593</v>
      </c>
      <c r="B936" t="s">
        <v>1115</v>
      </c>
    </row>
    <row r="937" spans="1:2" x14ac:dyDescent="0.25">
      <c r="A937" s="1" t="s">
        <v>3594</v>
      </c>
      <c r="B937" t="s">
        <v>1116</v>
      </c>
    </row>
    <row r="938" spans="1:2" x14ac:dyDescent="0.25">
      <c r="A938" s="1" t="s">
        <v>3595</v>
      </c>
      <c r="B938" t="s">
        <v>1117</v>
      </c>
    </row>
    <row r="939" spans="1:2" x14ac:dyDescent="0.25">
      <c r="A939" s="1" t="s">
        <v>3596</v>
      </c>
      <c r="B939" t="s">
        <v>1118</v>
      </c>
    </row>
    <row r="940" spans="1:2" x14ac:dyDescent="0.25">
      <c r="A940" s="1" t="s">
        <v>3597</v>
      </c>
      <c r="B940" t="s">
        <v>1119</v>
      </c>
    </row>
    <row r="941" spans="1:2" x14ac:dyDescent="0.25">
      <c r="A941" s="1" t="s">
        <v>3598</v>
      </c>
      <c r="B941" t="s">
        <v>1120</v>
      </c>
    </row>
    <row r="942" spans="1:2" x14ac:dyDescent="0.25">
      <c r="A942" s="1" t="s">
        <v>3599</v>
      </c>
      <c r="B942" t="s">
        <v>1121</v>
      </c>
    </row>
    <row r="943" spans="1:2" x14ac:dyDescent="0.25">
      <c r="A943" s="1" t="s">
        <v>3600</v>
      </c>
      <c r="B943" t="s">
        <v>1122</v>
      </c>
    </row>
    <row r="944" spans="1:2" x14ac:dyDescent="0.25">
      <c r="A944" s="1" t="s">
        <v>3601</v>
      </c>
      <c r="B944" t="s">
        <v>1123</v>
      </c>
    </row>
    <row r="945" spans="1:2" x14ac:dyDescent="0.25">
      <c r="A945" s="1" t="s">
        <v>3602</v>
      </c>
      <c r="B945" t="s">
        <v>1124</v>
      </c>
    </row>
    <row r="946" spans="1:2" x14ac:dyDescent="0.25">
      <c r="A946" s="1" t="s">
        <v>3603</v>
      </c>
      <c r="B946" t="s">
        <v>1125</v>
      </c>
    </row>
    <row r="947" spans="1:2" x14ac:dyDescent="0.25">
      <c r="A947" s="1" t="s">
        <v>3604</v>
      </c>
      <c r="B947" t="s">
        <v>1126</v>
      </c>
    </row>
    <row r="948" spans="1:2" x14ac:dyDescent="0.25">
      <c r="A948" s="1" t="s">
        <v>3605</v>
      </c>
      <c r="B948" t="s">
        <v>1127</v>
      </c>
    </row>
    <row r="949" spans="1:2" x14ac:dyDescent="0.25">
      <c r="A949" s="1" t="s">
        <v>3606</v>
      </c>
      <c r="B949" t="s">
        <v>1128</v>
      </c>
    </row>
    <row r="950" spans="1:2" x14ac:dyDescent="0.25">
      <c r="A950" s="1" t="s">
        <v>3607</v>
      </c>
      <c r="B950" t="s">
        <v>1129</v>
      </c>
    </row>
    <row r="951" spans="1:2" x14ac:dyDescent="0.25">
      <c r="A951" s="1" t="s">
        <v>3608</v>
      </c>
      <c r="B951" t="s">
        <v>1130</v>
      </c>
    </row>
    <row r="952" spans="1:2" x14ac:dyDescent="0.25">
      <c r="A952" s="1" t="s">
        <v>3609</v>
      </c>
      <c r="B952" t="s">
        <v>1132</v>
      </c>
    </row>
    <row r="953" spans="1:2" x14ac:dyDescent="0.25">
      <c r="A953" s="1" t="s">
        <v>3610</v>
      </c>
      <c r="B953" t="s">
        <v>1133</v>
      </c>
    </row>
    <row r="954" spans="1:2" x14ac:dyDescent="0.25">
      <c r="A954" s="1" t="s">
        <v>3611</v>
      </c>
      <c r="B954" t="s">
        <v>1134</v>
      </c>
    </row>
    <row r="955" spans="1:2" x14ac:dyDescent="0.25">
      <c r="A955" s="1" t="s">
        <v>3612</v>
      </c>
      <c r="B955" t="s">
        <v>1135</v>
      </c>
    </row>
    <row r="956" spans="1:2" x14ac:dyDescent="0.25">
      <c r="A956" s="1" t="s">
        <v>3613</v>
      </c>
      <c r="B956" t="s">
        <v>1136</v>
      </c>
    </row>
    <row r="957" spans="1:2" x14ac:dyDescent="0.25">
      <c r="A957" s="1" t="s">
        <v>3614</v>
      </c>
      <c r="B957" t="s">
        <v>1138</v>
      </c>
    </row>
    <row r="958" spans="1:2" x14ac:dyDescent="0.25">
      <c r="A958" s="1" t="s">
        <v>3615</v>
      </c>
      <c r="B958" t="s">
        <v>1139</v>
      </c>
    </row>
    <row r="959" spans="1:2" x14ac:dyDescent="0.25">
      <c r="A959" s="1" t="s">
        <v>3616</v>
      </c>
      <c r="B959" t="s">
        <v>1141</v>
      </c>
    </row>
    <row r="960" spans="1:2" x14ac:dyDescent="0.25">
      <c r="A960" s="1" t="s">
        <v>3617</v>
      </c>
      <c r="B960" t="s">
        <v>1142</v>
      </c>
    </row>
    <row r="961" spans="1:2" x14ac:dyDescent="0.25">
      <c r="A961" s="1" t="s">
        <v>3618</v>
      </c>
      <c r="B961" t="s">
        <v>1143</v>
      </c>
    </row>
    <row r="962" spans="1:2" x14ac:dyDescent="0.25">
      <c r="A962" s="1" t="s">
        <v>3619</v>
      </c>
      <c r="B962" t="s">
        <v>1144</v>
      </c>
    </row>
    <row r="963" spans="1:2" x14ac:dyDescent="0.25">
      <c r="A963" s="1" t="s">
        <v>3620</v>
      </c>
      <c r="B963" t="s">
        <v>1145</v>
      </c>
    </row>
    <row r="964" spans="1:2" x14ac:dyDescent="0.25">
      <c r="A964" s="1" t="s">
        <v>3621</v>
      </c>
      <c r="B964" t="s">
        <v>1147</v>
      </c>
    </row>
    <row r="965" spans="1:2" x14ac:dyDescent="0.25">
      <c r="A965" s="1" t="s">
        <v>3622</v>
      </c>
      <c r="B965" t="s">
        <v>1151</v>
      </c>
    </row>
    <row r="966" spans="1:2" x14ac:dyDescent="0.25">
      <c r="A966" s="1" t="s">
        <v>3623</v>
      </c>
      <c r="B966" t="s">
        <v>1155</v>
      </c>
    </row>
    <row r="967" spans="1:2" x14ac:dyDescent="0.25">
      <c r="A967" s="1" t="s">
        <v>3624</v>
      </c>
      <c r="B967" t="s">
        <v>1156</v>
      </c>
    </row>
    <row r="968" spans="1:2" x14ac:dyDescent="0.25">
      <c r="A968" s="1" t="s">
        <v>3625</v>
      </c>
      <c r="B968" t="s">
        <v>1158</v>
      </c>
    </row>
    <row r="969" spans="1:2" x14ac:dyDescent="0.25">
      <c r="A969" s="1" t="s">
        <v>3626</v>
      </c>
      <c r="B969" t="s">
        <v>1162</v>
      </c>
    </row>
    <row r="970" spans="1:2" x14ac:dyDescent="0.25">
      <c r="A970" s="1" t="s">
        <v>3627</v>
      </c>
      <c r="B970" t="s">
        <v>1163</v>
      </c>
    </row>
    <row r="971" spans="1:2" x14ac:dyDescent="0.25">
      <c r="A971" s="1" t="s">
        <v>3628</v>
      </c>
      <c r="B971" t="s">
        <v>1165</v>
      </c>
    </row>
    <row r="972" spans="1:2" x14ac:dyDescent="0.25">
      <c r="A972" s="1" t="s">
        <v>3629</v>
      </c>
      <c r="B972" t="s">
        <v>1166</v>
      </c>
    </row>
    <row r="973" spans="1:2" x14ac:dyDescent="0.25">
      <c r="A973" s="1" t="s">
        <v>3630</v>
      </c>
      <c r="B973" t="s">
        <v>1167</v>
      </c>
    </row>
    <row r="974" spans="1:2" x14ac:dyDescent="0.25">
      <c r="A974" s="1" t="s">
        <v>3631</v>
      </c>
      <c r="B974" t="s">
        <v>1169</v>
      </c>
    </row>
    <row r="975" spans="1:2" x14ac:dyDescent="0.25">
      <c r="A975" s="1" t="s">
        <v>3632</v>
      </c>
      <c r="B975" t="s">
        <v>1170</v>
      </c>
    </row>
    <row r="976" spans="1:2" x14ac:dyDescent="0.25">
      <c r="A976" s="1" t="s">
        <v>3633</v>
      </c>
      <c r="B976" t="s">
        <v>1172</v>
      </c>
    </row>
    <row r="977" spans="1:2" x14ac:dyDescent="0.25">
      <c r="A977" s="1" t="s">
        <v>3634</v>
      </c>
      <c r="B977" t="s">
        <v>1175</v>
      </c>
    </row>
    <row r="978" spans="1:2" x14ac:dyDescent="0.25">
      <c r="A978" s="1" t="s">
        <v>3635</v>
      </c>
      <c r="B978" t="s">
        <v>1176</v>
      </c>
    </row>
    <row r="979" spans="1:2" x14ac:dyDescent="0.25">
      <c r="A979" s="1" t="s">
        <v>3636</v>
      </c>
      <c r="B979" t="s">
        <v>1177</v>
      </c>
    </row>
    <row r="980" spans="1:2" x14ac:dyDescent="0.25">
      <c r="A980" s="1" t="s">
        <v>3637</v>
      </c>
      <c r="B980" t="s">
        <v>1178</v>
      </c>
    </row>
    <row r="981" spans="1:2" x14ac:dyDescent="0.25">
      <c r="A981" s="1" t="s">
        <v>3638</v>
      </c>
      <c r="B981" t="s">
        <v>1179</v>
      </c>
    </row>
    <row r="982" spans="1:2" x14ac:dyDescent="0.25">
      <c r="A982" s="1" t="s">
        <v>3639</v>
      </c>
      <c r="B982" t="s">
        <v>761</v>
      </c>
    </row>
    <row r="983" spans="1:2" x14ac:dyDescent="0.25">
      <c r="A983" s="1" t="s">
        <v>3640</v>
      </c>
      <c r="B983" t="s">
        <v>1180</v>
      </c>
    </row>
    <row r="984" spans="1:2" x14ac:dyDescent="0.25">
      <c r="A984" s="1" t="s">
        <v>3641</v>
      </c>
      <c r="B984" t="s">
        <v>1181</v>
      </c>
    </row>
    <row r="985" spans="1:2" x14ac:dyDescent="0.25">
      <c r="A985" s="1" t="s">
        <v>3642</v>
      </c>
      <c r="B985" t="s">
        <v>1182</v>
      </c>
    </row>
    <row r="986" spans="1:2" x14ac:dyDescent="0.25">
      <c r="A986" s="1" t="s">
        <v>3643</v>
      </c>
      <c r="B986" t="s">
        <v>1183</v>
      </c>
    </row>
    <row r="987" spans="1:2" x14ac:dyDescent="0.25">
      <c r="A987" s="1" t="s">
        <v>3644</v>
      </c>
      <c r="B987" t="s">
        <v>1185</v>
      </c>
    </row>
    <row r="988" spans="1:2" x14ac:dyDescent="0.25">
      <c r="A988" s="1" t="s">
        <v>3645</v>
      </c>
      <c r="B988" t="s">
        <v>1186</v>
      </c>
    </row>
    <row r="989" spans="1:2" x14ac:dyDescent="0.25">
      <c r="A989" s="1" t="s">
        <v>3646</v>
      </c>
      <c r="B989" t="s">
        <v>1187</v>
      </c>
    </row>
    <row r="990" spans="1:2" x14ac:dyDescent="0.25">
      <c r="A990" s="1" t="s">
        <v>3647</v>
      </c>
      <c r="B990" t="s">
        <v>1188</v>
      </c>
    </row>
    <row r="991" spans="1:2" x14ac:dyDescent="0.25">
      <c r="A991" s="1" t="s">
        <v>3648</v>
      </c>
      <c r="B991" t="s">
        <v>1189</v>
      </c>
    </row>
    <row r="992" spans="1:2" x14ac:dyDescent="0.25">
      <c r="A992" s="1" t="s">
        <v>3649</v>
      </c>
      <c r="B992" t="s">
        <v>1190</v>
      </c>
    </row>
    <row r="993" spans="1:2" x14ac:dyDescent="0.25">
      <c r="A993" s="1" t="s">
        <v>3650</v>
      </c>
      <c r="B993" t="s">
        <v>1193</v>
      </c>
    </row>
    <row r="994" spans="1:2" x14ac:dyDescent="0.25">
      <c r="A994" s="1" t="s">
        <v>3651</v>
      </c>
      <c r="B994" t="s">
        <v>1194</v>
      </c>
    </row>
    <row r="995" spans="1:2" x14ac:dyDescent="0.25">
      <c r="A995" s="1" t="s">
        <v>3652</v>
      </c>
      <c r="B995" t="s">
        <v>1195</v>
      </c>
    </row>
    <row r="996" spans="1:2" x14ac:dyDescent="0.25">
      <c r="A996" s="1" t="s">
        <v>3653</v>
      </c>
      <c r="B996" t="s">
        <v>1196</v>
      </c>
    </row>
    <row r="997" spans="1:2" x14ac:dyDescent="0.25">
      <c r="A997" s="1" t="s">
        <v>3654</v>
      </c>
      <c r="B997" t="s">
        <v>1197</v>
      </c>
    </row>
    <row r="998" spans="1:2" x14ac:dyDescent="0.25">
      <c r="A998" s="1" t="s">
        <v>3655</v>
      </c>
      <c r="B998" t="s">
        <v>1198</v>
      </c>
    </row>
    <row r="999" spans="1:2" x14ac:dyDescent="0.25">
      <c r="A999" s="1" t="s">
        <v>3656</v>
      </c>
      <c r="B999" t="s">
        <v>1199</v>
      </c>
    </row>
    <row r="1000" spans="1:2" x14ac:dyDescent="0.25">
      <c r="A1000" s="1" t="s">
        <v>3657</v>
      </c>
      <c r="B1000" t="s">
        <v>1202</v>
      </c>
    </row>
    <row r="1001" spans="1:2" x14ac:dyDescent="0.25">
      <c r="A1001" s="1" t="s">
        <v>3658</v>
      </c>
      <c r="B1001" t="s">
        <v>1203</v>
      </c>
    </row>
    <row r="1002" spans="1:2" x14ac:dyDescent="0.25">
      <c r="A1002" s="1" t="s">
        <v>3659</v>
      </c>
      <c r="B1002" t="s">
        <v>1204</v>
      </c>
    </row>
    <row r="1003" spans="1:2" x14ac:dyDescent="0.25">
      <c r="A1003" s="1" t="s">
        <v>3660</v>
      </c>
      <c r="B1003" t="s">
        <v>1205</v>
      </c>
    </row>
    <row r="1004" spans="1:2" x14ac:dyDescent="0.25">
      <c r="A1004" s="1" t="s">
        <v>3661</v>
      </c>
      <c r="B1004" t="s">
        <v>1206</v>
      </c>
    </row>
    <row r="1005" spans="1:2" x14ac:dyDescent="0.25">
      <c r="A1005" s="1" t="s">
        <v>3662</v>
      </c>
      <c r="B1005" t="s">
        <v>1209</v>
      </c>
    </row>
    <row r="1006" spans="1:2" x14ac:dyDescent="0.25">
      <c r="A1006" s="1" t="s">
        <v>3663</v>
      </c>
      <c r="B1006" t="s">
        <v>1210</v>
      </c>
    </row>
    <row r="1007" spans="1:2" x14ac:dyDescent="0.25">
      <c r="A1007" s="1" t="s">
        <v>3664</v>
      </c>
      <c r="B1007" t="s">
        <v>1211</v>
      </c>
    </row>
    <row r="1008" spans="1:2" x14ac:dyDescent="0.25">
      <c r="A1008" s="1" t="s">
        <v>3665</v>
      </c>
      <c r="B1008" t="s">
        <v>1212</v>
      </c>
    </row>
    <row r="1009" spans="1:2" x14ac:dyDescent="0.25">
      <c r="A1009" s="1" t="s">
        <v>3666</v>
      </c>
      <c r="B1009" t="s">
        <v>1213</v>
      </c>
    </row>
    <row r="1010" spans="1:2" x14ac:dyDescent="0.25">
      <c r="A1010" s="1" t="s">
        <v>3667</v>
      </c>
      <c r="B1010" t="s">
        <v>1216</v>
      </c>
    </row>
    <row r="1011" spans="1:2" x14ac:dyDescent="0.25">
      <c r="A1011" s="1" t="s">
        <v>3668</v>
      </c>
      <c r="B1011" t="s">
        <v>1217</v>
      </c>
    </row>
    <row r="1012" spans="1:2" x14ac:dyDescent="0.25">
      <c r="A1012" s="1" t="s">
        <v>3669</v>
      </c>
      <c r="B1012" t="s">
        <v>1218</v>
      </c>
    </row>
    <row r="1013" spans="1:2" x14ac:dyDescent="0.25">
      <c r="A1013" s="1" t="s">
        <v>3670</v>
      </c>
      <c r="B1013" t="s">
        <v>1219</v>
      </c>
    </row>
    <row r="1014" spans="1:2" x14ac:dyDescent="0.25">
      <c r="A1014" s="1" t="s">
        <v>3671</v>
      </c>
      <c r="B1014" t="s">
        <v>1220</v>
      </c>
    </row>
    <row r="1015" spans="1:2" x14ac:dyDescent="0.25">
      <c r="A1015" s="1" t="s">
        <v>3672</v>
      </c>
      <c r="B1015" t="s">
        <v>1221</v>
      </c>
    </row>
    <row r="1016" spans="1:2" x14ac:dyDescent="0.25">
      <c r="A1016" s="1" t="s">
        <v>3673</v>
      </c>
      <c r="B1016" t="s">
        <v>1222</v>
      </c>
    </row>
    <row r="1017" spans="1:2" x14ac:dyDescent="0.25">
      <c r="A1017" s="1" t="s">
        <v>3674</v>
      </c>
      <c r="B1017" t="s">
        <v>1223</v>
      </c>
    </row>
    <row r="1018" spans="1:2" x14ac:dyDescent="0.25">
      <c r="A1018" s="1" t="s">
        <v>3675</v>
      </c>
      <c r="B1018" t="s">
        <v>1224</v>
      </c>
    </row>
    <row r="1019" spans="1:2" x14ac:dyDescent="0.25">
      <c r="A1019" s="1" t="s">
        <v>3676</v>
      </c>
      <c r="B1019" t="s">
        <v>1225</v>
      </c>
    </row>
    <row r="1020" spans="1:2" x14ac:dyDescent="0.25">
      <c r="A1020" s="1" t="s">
        <v>3677</v>
      </c>
      <c r="B1020" t="s">
        <v>1226</v>
      </c>
    </row>
    <row r="1021" spans="1:2" x14ac:dyDescent="0.25">
      <c r="A1021" s="1" t="s">
        <v>3678</v>
      </c>
      <c r="B1021" t="s">
        <v>1227</v>
      </c>
    </row>
    <row r="1022" spans="1:2" x14ac:dyDescent="0.25">
      <c r="A1022" s="1" t="s">
        <v>3679</v>
      </c>
      <c r="B1022" t="s">
        <v>1228</v>
      </c>
    </row>
    <row r="1023" spans="1:2" x14ac:dyDescent="0.25">
      <c r="A1023" s="1" t="s">
        <v>3680</v>
      </c>
      <c r="B1023" t="s">
        <v>1229</v>
      </c>
    </row>
    <row r="1024" spans="1:2" x14ac:dyDescent="0.25">
      <c r="A1024" s="1" t="s">
        <v>3681</v>
      </c>
      <c r="B1024" t="s">
        <v>1230</v>
      </c>
    </row>
    <row r="1025" spans="1:2" x14ac:dyDescent="0.25">
      <c r="A1025" s="1" t="s">
        <v>3682</v>
      </c>
      <c r="B1025" t="s">
        <v>1231</v>
      </c>
    </row>
    <row r="1026" spans="1:2" x14ac:dyDescent="0.25">
      <c r="A1026" s="1" t="s">
        <v>3683</v>
      </c>
      <c r="B1026" t="s">
        <v>1232</v>
      </c>
    </row>
    <row r="1027" spans="1:2" x14ac:dyDescent="0.25">
      <c r="A1027" s="1" t="s">
        <v>3684</v>
      </c>
      <c r="B1027" t="s">
        <v>1233</v>
      </c>
    </row>
    <row r="1028" spans="1:2" x14ac:dyDescent="0.25">
      <c r="A1028" s="1" t="s">
        <v>3685</v>
      </c>
      <c r="B1028" t="s">
        <v>1234</v>
      </c>
    </row>
    <row r="1029" spans="1:2" x14ac:dyDescent="0.25">
      <c r="A1029" s="1" t="s">
        <v>3686</v>
      </c>
      <c r="B1029" t="s">
        <v>1235</v>
      </c>
    </row>
    <row r="1030" spans="1:2" x14ac:dyDescent="0.25">
      <c r="A1030" s="1" t="s">
        <v>3687</v>
      </c>
      <c r="B1030" t="s">
        <v>1236</v>
      </c>
    </row>
    <row r="1031" spans="1:2" x14ac:dyDescent="0.25">
      <c r="A1031" s="1" t="s">
        <v>3688</v>
      </c>
      <c r="B1031" t="s">
        <v>1237</v>
      </c>
    </row>
    <row r="1032" spans="1:2" x14ac:dyDescent="0.25">
      <c r="A1032" s="1" t="s">
        <v>3689</v>
      </c>
      <c r="B1032" t="s">
        <v>1238</v>
      </c>
    </row>
    <row r="1033" spans="1:2" x14ac:dyDescent="0.25">
      <c r="A1033" s="1" t="s">
        <v>3690</v>
      </c>
      <c r="B1033" t="s">
        <v>1233</v>
      </c>
    </row>
    <row r="1034" spans="1:2" x14ac:dyDescent="0.25">
      <c r="A1034" s="1" t="s">
        <v>3691</v>
      </c>
      <c r="B1034" t="s">
        <v>1240</v>
      </c>
    </row>
    <row r="1035" spans="1:2" x14ac:dyDescent="0.25">
      <c r="A1035" s="1" t="s">
        <v>3692</v>
      </c>
      <c r="B1035" t="s">
        <v>1241</v>
      </c>
    </row>
    <row r="1036" spans="1:2" x14ac:dyDescent="0.25">
      <c r="A1036" s="1" t="s">
        <v>3693</v>
      </c>
      <c r="B1036" t="s">
        <v>1242</v>
      </c>
    </row>
    <row r="1037" spans="1:2" x14ac:dyDescent="0.25">
      <c r="A1037" s="1" t="s">
        <v>3694</v>
      </c>
      <c r="B1037" t="s">
        <v>1243</v>
      </c>
    </row>
    <row r="1038" spans="1:2" x14ac:dyDescent="0.25">
      <c r="A1038" s="1" t="s">
        <v>3695</v>
      </c>
      <c r="B1038" t="s">
        <v>1244</v>
      </c>
    </row>
    <row r="1039" spans="1:2" x14ac:dyDescent="0.25">
      <c r="A1039" s="1" t="s">
        <v>3696</v>
      </c>
      <c r="B1039" t="s">
        <v>1245</v>
      </c>
    </row>
    <row r="1040" spans="1:2" x14ac:dyDescent="0.25">
      <c r="A1040" s="1" t="s">
        <v>3697</v>
      </c>
      <c r="B1040" t="s">
        <v>1248</v>
      </c>
    </row>
    <row r="1041" spans="1:2" x14ac:dyDescent="0.25">
      <c r="A1041" s="1" t="s">
        <v>3698</v>
      </c>
      <c r="B1041" t="s">
        <v>1249</v>
      </c>
    </row>
    <row r="1042" spans="1:2" x14ac:dyDescent="0.25">
      <c r="A1042" s="1" t="s">
        <v>3699</v>
      </c>
      <c r="B1042" t="s">
        <v>1250</v>
      </c>
    </row>
    <row r="1043" spans="1:2" x14ac:dyDescent="0.25">
      <c r="A1043" s="1" t="s">
        <v>3700</v>
      </c>
      <c r="B1043" t="s">
        <v>1251</v>
      </c>
    </row>
    <row r="1044" spans="1:2" x14ac:dyDescent="0.25">
      <c r="A1044" s="1" t="s">
        <v>3701</v>
      </c>
      <c r="B1044" t="s">
        <v>1252</v>
      </c>
    </row>
    <row r="1045" spans="1:2" x14ac:dyDescent="0.25">
      <c r="A1045" s="1" t="s">
        <v>3702</v>
      </c>
      <c r="B1045" t="s">
        <v>1253</v>
      </c>
    </row>
    <row r="1046" spans="1:2" x14ac:dyDescent="0.25">
      <c r="A1046" s="1" t="s">
        <v>3703</v>
      </c>
      <c r="B1046" t="s">
        <v>1254</v>
      </c>
    </row>
    <row r="1047" spans="1:2" x14ac:dyDescent="0.25">
      <c r="A1047" s="1" t="s">
        <v>3704</v>
      </c>
      <c r="B1047" t="s">
        <v>1256</v>
      </c>
    </row>
    <row r="1048" spans="1:2" x14ac:dyDescent="0.25">
      <c r="A1048" s="1" t="s">
        <v>3705</v>
      </c>
      <c r="B1048" t="s">
        <v>1257</v>
      </c>
    </row>
    <row r="1049" spans="1:2" x14ac:dyDescent="0.25">
      <c r="A1049" s="1" t="s">
        <v>3706</v>
      </c>
      <c r="B1049" t="s">
        <v>1258</v>
      </c>
    </row>
    <row r="1050" spans="1:2" x14ac:dyDescent="0.25">
      <c r="A1050" s="1" t="s">
        <v>3707</v>
      </c>
      <c r="B1050" t="s">
        <v>1259</v>
      </c>
    </row>
    <row r="1051" spans="1:2" x14ac:dyDescent="0.25">
      <c r="A1051" s="1" t="s">
        <v>3708</v>
      </c>
      <c r="B1051" t="s">
        <v>1260</v>
      </c>
    </row>
    <row r="1052" spans="1:2" x14ac:dyDescent="0.25">
      <c r="A1052" s="1" t="s">
        <v>3709</v>
      </c>
      <c r="B1052" t="s">
        <v>1261</v>
      </c>
    </row>
    <row r="1053" spans="1:2" x14ac:dyDescent="0.25">
      <c r="A1053" s="1" t="s">
        <v>3710</v>
      </c>
      <c r="B1053" t="s">
        <v>1262</v>
      </c>
    </row>
    <row r="1054" spans="1:2" x14ac:dyDescent="0.25">
      <c r="A1054" s="1" t="s">
        <v>3711</v>
      </c>
      <c r="B1054" t="s">
        <v>1263</v>
      </c>
    </row>
    <row r="1055" spans="1:2" x14ac:dyDescent="0.25">
      <c r="A1055" s="1" t="s">
        <v>3712</v>
      </c>
      <c r="B1055" t="s">
        <v>1264</v>
      </c>
    </row>
    <row r="1056" spans="1:2" x14ac:dyDescent="0.25">
      <c r="A1056" s="1" t="s">
        <v>3713</v>
      </c>
      <c r="B1056" t="s">
        <v>1265</v>
      </c>
    </row>
    <row r="1057" spans="1:2" x14ac:dyDescent="0.25">
      <c r="A1057" s="1" t="s">
        <v>3714</v>
      </c>
      <c r="B1057" t="s">
        <v>1266</v>
      </c>
    </row>
    <row r="1058" spans="1:2" x14ac:dyDescent="0.25">
      <c r="A1058" s="1" t="s">
        <v>3715</v>
      </c>
      <c r="B1058" t="s">
        <v>1267</v>
      </c>
    </row>
    <row r="1059" spans="1:2" x14ac:dyDescent="0.25">
      <c r="A1059" s="1" t="s">
        <v>3716</v>
      </c>
      <c r="B1059" t="s">
        <v>1288</v>
      </c>
    </row>
    <row r="1060" spans="1:2" x14ac:dyDescent="0.25">
      <c r="A1060" s="1" t="s">
        <v>3717</v>
      </c>
      <c r="B1060" t="s">
        <v>1268</v>
      </c>
    </row>
    <row r="1061" spans="1:2" x14ac:dyDescent="0.25">
      <c r="A1061" s="1" t="s">
        <v>3718</v>
      </c>
      <c r="B1061" t="s">
        <v>1269</v>
      </c>
    </row>
    <row r="1062" spans="1:2" x14ac:dyDescent="0.25">
      <c r="A1062" s="1" t="s">
        <v>3719</v>
      </c>
      <c r="B1062" t="s">
        <v>1270</v>
      </c>
    </row>
    <row r="1063" spans="1:2" x14ac:dyDescent="0.25">
      <c r="A1063" s="1" t="s">
        <v>3720</v>
      </c>
      <c r="B1063" t="s">
        <v>1271</v>
      </c>
    </row>
    <row r="1064" spans="1:2" x14ac:dyDescent="0.25">
      <c r="A1064" s="1" t="s">
        <v>3721</v>
      </c>
      <c r="B1064" t="s">
        <v>1273</v>
      </c>
    </row>
    <row r="1065" spans="1:2" x14ac:dyDescent="0.25">
      <c r="A1065" s="1" t="s">
        <v>3722</v>
      </c>
      <c r="B1065" t="s">
        <v>1275</v>
      </c>
    </row>
    <row r="1066" spans="1:2" x14ac:dyDescent="0.25">
      <c r="A1066" s="1" t="s">
        <v>3723</v>
      </c>
      <c r="B1066" t="s">
        <v>1276</v>
      </c>
    </row>
    <row r="1067" spans="1:2" x14ac:dyDescent="0.25">
      <c r="A1067" s="1" t="s">
        <v>3724</v>
      </c>
      <c r="B1067" t="s">
        <v>1277</v>
      </c>
    </row>
    <row r="1068" spans="1:2" x14ac:dyDescent="0.25">
      <c r="A1068" s="1" t="s">
        <v>3725</v>
      </c>
      <c r="B1068" t="s">
        <v>1278</v>
      </c>
    </row>
    <row r="1069" spans="1:2" x14ac:dyDescent="0.25">
      <c r="A1069" s="1" t="s">
        <v>3726</v>
      </c>
      <c r="B1069" t="s">
        <v>1279</v>
      </c>
    </row>
    <row r="1070" spans="1:2" x14ac:dyDescent="0.25">
      <c r="A1070" s="1" t="s">
        <v>3727</v>
      </c>
      <c r="B1070" t="s">
        <v>1281</v>
      </c>
    </row>
    <row r="1071" spans="1:2" x14ac:dyDescent="0.25">
      <c r="A1071" s="1" t="s">
        <v>3728</v>
      </c>
      <c r="B1071" t="s">
        <v>1282</v>
      </c>
    </row>
    <row r="1072" spans="1:2" x14ac:dyDescent="0.25">
      <c r="A1072" s="1" t="s">
        <v>3729</v>
      </c>
      <c r="B1072" t="s">
        <v>1284</v>
      </c>
    </row>
    <row r="1073" spans="1:2" x14ac:dyDescent="0.25">
      <c r="A1073" s="1" t="s">
        <v>3730</v>
      </c>
      <c r="B1073" t="s">
        <v>1285</v>
      </c>
    </row>
    <row r="1074" spans="1:2" x14ac:dyDescent="0.25">
      <c r="A1074" s="1" t="s">
        <v>3731</v>
      </c>
      <c r="B1074" t="s">
        <v>1286</v>
      </c>
    </row>
    <row r="1075" spans="1:2" x14ac:dyDescent="0.25">
      <c r="A1075" s="1" t="s">
        <v>3732</v>
      </c>
      <c r="B1075" t="s">
        <v>1287</v>
      </c>
    </row>
    <row r="1076" spans="1:2" x14ac:dyDescent="0.25">
      <c r="A1076" s="1" t="s">
        <v>3733</v>
      </c>
      <c r="B1076" t="s">
        <v>1288</v>
      </c>
    </row>
    <row r="1077" spans="1:2" x14ac:dyDescent="0.25">
      <c r="A1077" s="1" t="s">
        <v>3734</v>
      </c>
      <c r="B1077" t="s">
        <v>1289</v>
      </c>
    </row>
    <row r="1078" spans="1:2" x14ac:dyDescent="0.25">
      <c r="A1078" s="1" t="s">
        <v>3735</v>
      </c>
      <c r="B1078" t="s">
        <v>1291</v>
      </c>
    </row>
    <row r="1079" spans="1:2" x14ac:dyDescent="0.25">
      <c r="A1079" s="1" t="s">
        <v>3736</v>
      </c>
      <c r="B1079" t="s">
        <v>1292</v>
      </c>
    </row>
    <row r="1080" spans="1:2" x14ac:dyDescent="0.25">
      <c r="A1080" s="1" t="s">
        <v>3737</v>
      </c>
      <c r="B1080" t="s">
        <v>1293</v>
      </c>
    </row>
    <row r="1081" spans="1:2" x14ac:dyDescent="0.25">
      <c r="A1081" s="1" t="s">
        <v>3738</v>
      </c>
      <c r="B1081" t="s">
        <v>1294</v>
      </c>
    </row>
    <row r="1082" spans="1:2" x14ac:dyDescent="0.25">
      <c r="A1082" s="1" t="s">
        <v>3739</v>
      </c>
      <c r="B1082" t="s">
        <v>1295</v>
      </c>
    </row>
    <row r="1083" spans="1:2" x14ac:dyDescent="0.25">
      <c r="A1083" s="1" t="s">
        <v>3740</v>
      </c>
      <c r="B1083" t="s">
        <v>1296</v>
      </c>
    </row>
    <row r="1084" spans="1:2" x14ac:dyDescent="0.25">
      <c r="A1084" s="1" t="s">
        <v>3741</v>
      </c>
      <c r="B1084" t="s">
        <v>1297</v>
      </c>
    </row>
    <row r="1085" spans="1:2" x14ac:dyDescent="0.25">
      <c r="A1085" s="1" t="s">
        <v>3742</v>
      </c>
      <c r="B1085" t="s">
        <v>1299</v>
      </c>
    </row>
    <row r="1086" spans="1:2" x14ac:dyDescent="0.25">
      <c r="A1086" s="1" t="s">
        <v>3743</v>
      </c>
      <c r="B1086" t="s">
        <v>1300</v>
      </c>
    </row>
    <row r="1087" spans="1:2" x14ac:dyDescent="0.25">
      <c r="A1087" s="1" t="s">
        <v>3744</v>
      </c>
      <c r="B1087" t="s">
        <v>1301</v>
      </c>
    </row>
    <row r="1088" spans="1:2" x14ac:dyDescent="0.25">
      <c r="A1088" s="1" t="s">
        <v>3745</v>
      </c>
      <c r="B1088" t="s">
        <v>1302</v>
      </c>
    </row>
    <row r="1089" spans="1:2" x14ac:dyDescent="0.25">
      <c r="A1089" s="1" t="s">
        <v>3746</v>
      </c>
      <c r="B1089" t="s">
        <v>1305</v>
      </c>
    </row>
    <row r="1090" spans="1:2" x14ac:dyDescent="0.25">
      <c r="A1090" s="1" t="s">
        <v>3747</v>
      </c>
      <c r="B1090" t="s">
        <v>1307</v>
      </c>
    </row>
    <row r="1091" spans="1:2" x14ac:dyDescent="0.25">
      <c r="A1091" s="1" t="s">
        <v>3748</v>
      </c>
      <c r="B1091" t="s">
        <v>1308</v>
      </c>
    </row>
    <row r="1092" spans="1:2" x14ac:dyDescent="0.25">
      <c r="A1092" s="1" t="s">
        <v>3749</v>
      </c>
      <c r="B1092" t="s">
        <v>1309</v>
      </c>
    </row>
    <row r="1093" spans="1:2" x14ac:dyDescent="0.25">
      <c r="A1093" s="1" t="s">
        <v>3750</v>
      </c>
      <c r="B1093" t="s">
        <v>1310</v>
      </c>
    </row>
    <row r="1094" spans="1:2" x14ac:dyDescent="0.25">
      <c r="A1094" s="1" t="s">
        <v>3751</v>
      </c>
      <c r="B1094" t="s">
        <v>1312</v>
      </c>
    </row>
    <row r="1095" spans="1:2" x14ac:dyDescent="0.25">
      <c r="A1095" s="1" t="s">
        <v>3752</v>
      </c>
      <c r="B1095" t="s">
        <v>1313</v>
      </c>
    </row>
    <row r="1096" spans="1:2" x14ac:dyDescent="0.25">
      <c r="A1096" s="1" t="s">
        <v>3753</v>
      </c>
      <c r="B1096" t="s">
        <v>1314</v>
      </c>
    </row>
    <row r="1097" spans="1:2" x14ac:dyDescent="0.25">
      <c r="A1097" s="1" t="s">
        <v>3754</v>
      </c>
      <c r="B1097" t="s">
        <v>1315</v>
      </c>
    </row>
    <row r="1098" spans="1:2" x14ac:dyDescent="0.25">
      <c r="A1098" s="1" t="s">
        <v>3755</v>
      </c>
      <c r="B1098" t="s">
        <v>1316</v>
      </c>
    </row>
    <row r="1099" spans="1:2" x14ac:dyDescent="0.25">
      <c r="A1099" s="1" t="s">
        <v>3756</v>
      </c>
      <c r="B1099" t="s">
        <v>1318</v>
      </c>
    </row>
    <row r="1100" spans="1:2" x14ac:dyDescent="0.25">
      <c r="A1100" s="1" t="s">
        <v>3757</v>
      </c>
      <c r="B1100" t="s">
        <v>1319</v>
      </c>
    </row>
    <row r="1101" spans="1:2" x14ac:dyDescent="0.25">
      <c r="A1101" s="1" t="s">
        <v>3758</v>
      </c>
      <c r="B1101" t="s">
        <v>1320</v>
      </c>
    </row>
    <row r="1102" spans="1:2" x14ac:dyDescent="0.25">
      <c r="A1102" s="1" t="s">
        <v>3759</v>
      </c>
      <c r="B1102" t="s">
        <v>1321</v>
      </c>
    </row>
    <row r="1103" spans="1:2" x14ac:dyDescent="0.25">
      <c r="A1103" s="1" t="s">
        <v>3760</v>
      </c>
      <c r="B1103" t="s">
        <v>1322</v>
      </c>
    </row>
    <row r="1104" spans="1:2" x14ac:dyDescent="0.25">
      <c r="A1104" s="1" t="s">
        <v>3761</v>
      </c>
      <c r="B1104" t="s">
        <v>1323</v>
      </c>
    </row>
    <row r="1105" spans="1:2" x14ac:dyDescent="0.25">
      <c r="A1105" s="1" t="s">
        <v>3762</v>
      </c>
      <c r="B1105" t="s">
        <v>1324</v>
      </c>
    </row>
    <row r="1106" spans="1:2" x14ac:dyDescent="0.25">
      <c r="A1106" s="1" t="s">
        <v>3763</v>
      </c>
      <c r="B1106" t="s">
        <v>1325</v>
      </c>
    </row>
    <row r="1107" spans="1:2" x14ac:dyDescent="0.25">
      <c r="A1107" s="1" t="s">
        <v>3764</v>
      </c>
      <c r="B1107" t="s">
        <v>1326</v>
      </c>
    </row>
    <row r="1108" spans="1:2" x14ac:dyDescent="0.25">
      <c r="A1108" s="1" t="s">
        <v>3765</v>
      </c>
      <c r="B1108" t="s">
        <v>1327</v>
      </c>
    </row>
    <row r="1109" spans="1:2" x14ac:dyDescent="0.25">
      <c r="A1109" s="1" t="s">
        <v>3766</v>
      </c>
      <c r="B1109" t="s">
        <v>1328</v>
      </c>
    </row>
    <row r="1110" spans="1:2" x14ac:dyDescent="0.25">
      <c r="A1110" s="1" t="s">
        <v>3767</v>
      </c>
      <c r="B1110" t="s">
        <v>1329</v>
      </c>
    </row>
    <row r="1111" spans="1:2" x14ac:dyDescent="0.25">
      <c r="A1111" s="1" t="s">
        <v>3768</v>
      </c>
      <c r="B1111" t="s">
        <v>1331</v>
      </c>
    </row>
    <row r="1112" spans="1:2" x14ac:dyDescent="0.25">
      <c r="A1112" s="1" t="s">
        <v>3769</v>
      </c>
      <c r="B1112" t="s">
        <v>1332</v>
      </c>
    </row>
    <row r="1113" spans="1:2" x14ac:dyDescent="0.25">
      <c r="A1113" s="1" t="s">
        <v>3770</v>
      </c>
      <c r="B1113" t="s">
        <v>1333</v>
      </c>
    </row>
    <row r="1114" spans="1:2" x14ac:dyDescent="0.25">
      <c r="A1114" s="1" t="s">
        <v>3771</v>
      </c>
      <c r="B1114" t="s">
        <v>1334</v>
      </c>
    </row>
    <row r="1115" spans="1:2" x14ac:dyDescent="0.25">
      <c r="A1115" s="1" t="s">
        <v>3772</v>
      </c>
      <c r="B1115" t="s">
        <v>1335</v>
      </c>
    </row>
    <row r="1116" spans="1:2" x14ac:dyDescent="0.25">
      <c r="A1116" s="1" t="s">
        <v>3773</v>
      </c>
      <c r="B1116" t="s">
        <v>1336</v>
      </c>
    </row>
    <row r="1117" spans="1:2" x14ac:dyDescent="0.25">
      <c r="A1117" s="1" t="s">
        <v>3774</v>
      </c>
      <c r="B1117" t="s">
        <v>1337</v>
      </c>
    </row>
    <row r="1118" spans="1:2" x14ac:dyDescent="0.25">
      <c r="A1118" s="1" t="s">
        <v>3775</v>
      </c>
      <c r="B1118" t="s">
        <v>1338</v>
      </c>
    </row>
    <row r="1119" spans="1:2" x14ac:dyDescent="0.25">
      <c r="A1119" s="1" t="s">
        <v>3776</v>
      </c>
      <c r="B1119" t="s">
        <v>1340</v>
      </c>
    </row>
    <row r="1120" spans="1:2" x14ac:dyDescent="0.25">
      <c r="A1120" s="1" t="s">
        <v>3777</v>
      </c>
      <c r="B1120" t="s">
        <v>1341</v>
      </c>
    </row>
    <row r="1121" spans="1:2" x14ac:dyDescent="0.25">
      <c r="A1121" s="1" t="s">
        <v>3778</v>
      </c>
      <c r="B1121" t="s">
        <v>1342</v>
      </c>
    </row>
    <row r="1122" spans="1:2" x14ac:dyDescent="0.25">
      <c r="A1122" s="1" t="s">
        <v>3779</v>
      </c>
      <c r="B1122" t="s">
        <v>1343</v>
      </c>
    </row>
    <row r="1123" spans="1:2" x14ac:dyDescent="0.25">
      <c r="A1123" s="1" t="s">
        <v>3780</v>
      </c>
      <c r="B1123" t="s">
        <v>1344</v>
      </c>
    </row>
    <row r="1124" spans="1:2" x14ac:dyDescent="0.25">
      <c r="A1124" s="1" t="s">
        <v>3781</v>
      </c>
      <c r="B1124" t="s">
        <v>1345</v>
      </c>
    </row>
    <row r="1125" spans="1:2" x14ac:dyDescent="0.25">
      <c r="A1125" s="1" t="s">
        <v>3782</v>
      </c>
      <c r="B1125" t="s">
        <v>1346</v>
      </c>
    </row>
    <row r="1126" spans="1:2" x14ac:dyDescent="0.25">
      <c r="A1126" s="1" t="s">
        <v>3783</v>
      </c>
      <c r="B1126" t="s">
        <v>1347</v>
      </c>
    </row>
    <row r="1127" spans="1:2" x14ac:dyDescent="0.25">
      <c r="A1127" s="1" t="s">
        <v>3784</v>
      </c>
      <c r="B1127" t="s">
        <v>1348</v>
      </c>
    </row>
    <row r="1128" spans="1:2" x14ac:dyDescent="0.25">
      <c r="A1128" s="1" t="s">
        <v>3785</v>
      </c>
      <c r="B1128" t="s">
        <v>1349</v>
      </c>
    </row>
    <row r="1129" spans="1:2" x14ac:dyDescent="0.25">
      <c r="A1129" s="1" t="s">
        <v>3786</v>
      </c>
      <c r="B1129" t="s">
        <v>1351</v>
      </c>
    </row>
    <row r="1130" spans="1:2" x14ac:dyDescent="0.25">
      <c r="A1130" s="1" t="s">
        <v>3787</v>
      </c>
      <c r="B1130" t="s">
        <v>1352</v>
      </c>
    </row>
    <row r="1131" spans="1:2" x14ac:dyDescent="0.25">
      <c r="A1131" s="1" t="s">
        <v>3788</v>
      </c>
      <c r="B1131" t="s">
        <v>1353</v>
      </c>
    </row>
    <row r="1132" spans="1:2" x14ac:dyDescent="0.25">
      <c r="A1132" s="1" t="s">
        <v>3789</v>
      </c>
      <c r="B1132" t="s">
        <v>1354</v>
      </c>
    </row>
    <row r="1133" spans="1:2" x14ac:dyDescent="0.25">
      <c r="A1133" s="1" t="s">
        <v>3790</v>
      </c>
      <c r="B1133" t="s">
        <v>1355</v>
      </c>
    </row>
    <row r="1134" spans="1:2" x14ac:dyDescent="0.25">
      <c r="A1134" s="1" t="s">
        <v>3791</v>
      </c>
      <c r="B1134" t="s">
        <v>1357</v>
      </c>
    </row>
    <row r="1135" spans="1:2" x14ac:dyDescent="0.25">
      <c r="A1135" s="1" t="s">
        <v>3792</v>
      </c>
      <c r="B1135" t="s">
        <v>1360</v>
      </c>
    </row>
    <row r="1136" spans="1:2" x14ac:dyDescent="0.25">
      <c r="A1136" s="1" t="s">
        <v>3793</v>
      </c>
      <c r="B1136" t="s">
        <v>1362</v>
      </c>
    </row>
    <row r="1137" spans="1:2" x14ac:dyDescent="0.25">
      <c r="A1137" s="1" t="s">
        <v>3794</v>
      </c>
      <c r="B1137" t="s">
        <v>1363</v>
      </c>
    </row>
    <row r="1138" spans="1:2" x14ac:dyDescent="0.25">
      <c r="A1138" s="1" t="s">
        <v>3795</v>
      </c>
      <c r="B1138" t="s">
        <v>1364</v>
      </c>
    </row>
    <row r="1139" spans="1:2" x14ac:dyDescent="0.25">
      <c r="A1139" s="1" t="s">
        <v>3796</v>
      </c>
      <c r="B1139" t="s">
        <v>1366</v>
      </c>
    </row>
    <row r="1140" spans="1:2" x14ac:dyDescent="0.25">
      <c r="A1140" s="1" t="s">
        <v>3797</v>
      </c>
      <c r="B1140" t="s">
        <v>1367</v>
      </c>
    </row>
    <row r="1141" spans="1:2" x14ac:dyDescent="0.25">
      <c r="A1141" s="1" t="s">
        <v>3798</v>
      </c>
      <c r="B1141" t="s">
        <v>1368</v>
      </c>
    </row>
    <row r="1142" spans="1:2" x14ac:dyDescent="0.25">
      <c r="A1142" s="1" t="s">
        <v>3799</v>
      </c>
      <c r="B1142" t="s">
        <v>1369</v>
      </c>
    </row>
    <row r="1143" spans="1:2" x14ac:dyDescent="0.25">
      <c r="A1143" s="1" t="s">
        <v>3800</v>
      </c>
      <c r="B1143" t="s">
        <v>1371</v>
      </c>
    </row>
    <row r="1144" spans="1:2" x14ac:dyDescent="0.25">
      <c r="A1144" s="1" t="s">
        <v>3801</v>
      </c>
      <c r="B1144" t="s">
        <v>1373</v>
      </c>
    </row>
    <row r="1145" spans="1:2" x14ac:dyDescent="0.25">
      <c r="A1145" s="1" t="s">
        <v>3802</v>
      </c>
      <c r="B1145" t="s">
        <v>1374</v>
      </c>
    </row>
    <row r="1146" spans="1:2" x14ac:dyDescent="0.25">
      <c r="A1146" s="1" t="s">
        <v>3803</v>
      </c>
      <c r="B1146" t="s">
        <v>1375</v>
      </c>
    </row>
    <row r="1147" spans="1:2" x14ac:dyDescent="0.25">
      <c r="A1147" s="1" t="s">
        <v>3804</v>
      </c>
      <c r="B1147" t="s">
        <v>1376</v>
      </c>
    </row>
    <row r="1148" spans="1:2" x14ac:dyDescent="0.25">
      <c r="A1148" s="1" t="s">
        <v>3805</v>
      </c>
      <c r="B1148" t="s">
        <v>1377</v>
      </c>
    </row>
    <row r="1149" spans="1:2" x14ac:dyDescent="0.25">
      <c r="A1149" s="1" t="s">
        <v>3806</v>
      </c>
      <c r="B1149" t="s">
        <v>1379</v>
      </c>
    </row>
    <row r="1150" spans="1:2" x14ac:dyDescent="0.25">
      <c r="A1150" s="1" t="s">
        <v>3807</v>
      </c>
      <c r="B1150" t="s">
        <v>1380</v>
      </c>
    </row>
    <row r="1151" spans="1:2" x14ac:dyDescent="0.25">
      <c r="A1151" s="1" t="s">
        <v>3808</v>
      </c>
      <c r="B1151" t="s">
        <v>1381</v>
      </c>
    </row>
    <row r="1152" spans="1:2" x14ac:dyDescent="0.25">
      <c r="A1152" s="1" t="s">
        <v>3809</v>
      </c>
      <c r="B1152" t="s">
        <v>1382</v>
      </c>
    </row>
    <row r="1153" spans="1:2" x14ac:dyDescent="0.25">
      <c r="A1153" s="1" t="s">
        <v>3810</v>
      </c>
      <c r="B1153" t="s">
        <v>1383</v>
      </c>
    </row>
    <row r="1154" spans="1:2" x14ac:dyDescent="0.25">
      <c r="A1154" s="1" t="s">
        <v>3811</v>
      </c>
      <c r="B1154" t="s">
        <v>1384</v>
      </c>
    </row>
    <row r="1155" spans="1:2" x14ac:dyDescent="0.25">
      <c r="A1155" s="1" t="s">
        <v>3812</v>
      </c>
      <c r="B1155" t="s">
        <v>1386</v>
      </c>
    </row>
    <row r="1156" spans="1:2" x14ac:dyDescent="0.25">
      <c r="A1156" s="1" t="s">
        <v>3813</v>
      </c>
      <c r="B1156" t="s">
        <v>1387</v>
      </c>
    </row>
    <row r="1157" spans="1:2" x14ac:dyDescent="0.25">
      <c r="A1157" s="1" t="s">
        <v>3814</v>
      </c>
      <c r="B1157" t="s">
        <v>1388</v>
      </c>
    </row>
    <row r="1158" spans="1:2" x14ac:dyDescent="0.25">
      <c r="A1158" s="1" t="s">
        <v>3815</v>
      </c>
      <c r="B1158" t="s">
        <v>1389</v>
      </c>
    </row>
    <row r="1159" spans="1:2" x14ac:dyDescent="0.25">
      <c r="A1159" s="1" t="s">
        <v>3816</v>
      </c>
      <c r="B1159" t="s">
        <v>1390</v>
      </c>
    </row>
    <row r="1160" spans="1:2" x14ac:dyDescent="0.25">
      <c r="A1160" s="1" t="s">
        <v>3817</v>
      </c>
      <c r="B1160" t="s">
        <v>1391</v>
      </c>
    </row>
    <row r="1161" spans="1:2" x14ac:dyDescent="0.25">
      <c r="A1161" s="1" t="s">
        <v>3818</v>
      </c>
      <c r="B1161" t="s">
        <v>1392</v>
      </c>
    </row>
    <row r="1162" spans="1:2" x14ac:dyDescent="0.25">
      <c r="A1162" s="1" t="s">
        <v>3819</v>
      </c>
      <c r="B1162" t="s">
        <v>1393</v>
      </c>
    </row>
    <row r="1163" spans="1:2" x14ac:dyDescent="0.25">
      <c r="A1163" s="1" t="s">
        <v>3820</v>
      </c>
      <c r="B1163" t="s">
        <v>1394</v>
      </c>
    </row>
    <row r="1164" spans="1:2" x14ac:dyDescent="0.25">
      <c r="A1164" s="1" t="s">
        <v>3821</v>
      </c>
      <c r="B1164" t="s">
        <v>1395</v>
      </c>
    </row>
    <row r="1165" spans="1:2" x14ac:dyDescent="0.25">
      <c r="A1165" s="1" t="s">
        <v>3822</v>
      </c>
      <c r="B1165" t="s">
        <v>1396</v>
      </c>
    </row>
    <row r="1166" spans="1:2" x14ac:dyDescent="0.25">
      <c r="A1166" s="1" t="s">
        <v>3823</v>
      </c>
      <c r="B1166" t="s">
        <v>1397</v>
      </c>
    </row>
    <row r="1167" spans="1:2" x14ac:dyDescent="0.25">
      <c r="A1167" s="1" t="s">
        <v>3824</v>
      </c>
      <c r="B1167" t="s">
        <v>1398</v>
      </c>
    </row>
    <row r="1168" spans="1:2" x14ac:dyDescent="0.25">
      <c r="A1168" s="1" t="s">
        <v>3825</v>
      </c>
      <c r="B1168" t="s">
        <v>1399</v>
      </c>
    </row>
    <row r="1169" spans="1:2" x14ac:dyDescent="0.25">
      <c r="A1169" s="1" t="s">
        <v>3826</v>
      </c>
      <c r="B1169" t="s">
        <v>1400</v>
      </c>
    </row>
    <row r="1170" spans="1:2" x14ac:dyDescent="0.25">
      <c r="A1170" s="1" t="s">
        <v>3827</v>
      </c>
      <c r="B1170" t="s">
        <v>1401</v>
      </c>
    </row>
    <row r="1171" spans="1:2" x14ac:dyDescent="0.25">
      <c r="A1171" s="1" t="s">
        <v>3828</v>
      </c>
      <c r="B1171" t="s">
        <v>1402</v>
      </c>
    </row>
    <row r="1172" spans="1:2" x14ac:dyDescent="0.25">
      <c r="A1172" s="1" t="s">
        <v>3829</v>
      </c>
      <c r="B1172" t="s">
        <v>1403</v>
      </c>
    </row>
    <row r="1173" spans="1:2" x14ac:dyDescent="0.25">
      <c r="A1173" s="1" t="s">
        <v>3830</v>
      </c>
      <c r="B1173" t="s">
        <v>1404</v>
      </c>
    </row>
    <row r="1174" spans="1:2" x14ac:dyDescent="0.25">
      <c r="A1174" s="1" t="s">
        <v>3831</v>
      </c>
      <c r="B1174" t="s">
        <v>1407</v>
      </c>
    </row>
    <row r="1175" spans="1:2" x14ac:dyDescent="0.25">
      <c r="A1175" s="1" t="s">
        <v>3832</v>
      </c>
      <c r="B1175" t="s">
        <v>1408</v>
      </c>
    </row>
    <row r="1176" spans="1:2" x14ac:dyDescent="0.25">
      <c r="A1176" s="1" t="s">
        <v>3833</v>
      </c>
      <c r="B1176" t="s">
        <v>1409</v>
      </c>
    </row>
    <row r="1177" spans="1:2" x14ac:dyDescent="0.25">
      <c r="A1177" s="1" t="s">
        <v>3834</v>
      </c>
      <c r="B1177" t="s">
        <v>1410</v>
      </c>
    </row>
    <row r="1178" spans="1:2" x14ac:dyDescent="0.25">
      <c r="A1178" s="1" t="s">
        <v>3835</v>
      </c>
      <c r="B1178" t="s">
        <v>1411</v>
      </c>
    </row>
    <row r="1179" spans="1:2" x14ac:dyDescent="0.25">
      <c r="A1179" s="1" t="s">
        <v>3836</v>
      </c>
      <c r="B1179" t="s">
        <v>1412</v>
      </c>
    </row>
    <row r="1180" spans="1:2" x14ac:dyDescent="0.25">
      <c r="A1180" s="1" t="s">
        <v>3837</v>
      </c>
      <c r="B1180" t="s">
        <v>1413</v>
      </c>
    </row>
    <row r="1181" spans="1:2" x14ac:dyDescent="0.25">
      <c r="A1181" s="1" t="s">
        <v>3838</v>
      </c>
      <c r="B1181" t="s">
        <v>1414</v>
      </c>
    </row>
    <row r="1182" spans="1:2" x14ac:dyDescent="0.25">
      <c r="A1182" s="1" t="s">
        <v>3839</v>
      </c>
      <c r="B1182" t="s">
        <v>1415</v>
      </c>
    </row>
    <row r="1183" spans="1:2" x14ac:dyDescent="0.25">
      <c r="A1183" s="1" t="s">
        <v>3840</v>
      </c>
      <c r="B1183" t="s">
        <v>1416</v>
      </c>
    </row>
    <row r="1184" spans="1:2" x14ac:dyDescent="0.25">
      <c r="A1184" s="1" t="s">
        <v>3841</v>
      </c>
      <c r="B1184" t="s">
        <v>1417</v>
      </c>
    </row>
    <row r="1185" spans="1:2" x14ac:dyDescent="0.25">
      <c r="A1185" s="1" t="s">
        <v>3842</v>
      </c>
      <c r="B1185" t="s">
        <v>1418</v>
      </c>
    </row>
    <row r="1186" spans="1:2" x14ac:dyDescent="0.25">
      <c r="A1186" s="1" t="s">
        <v>3843</v>
      </c>
      <c r="B1186" t="s">
        <v>1419</v>
      </c>
    </row>
    <row r="1187" spans="1:2" x14ac:dyDescent="0.25">
      <c r="A1187" s="1" t="s">
        <v>3844</v>
      </c>
      <c r="B1187" t="s">
        <v>1420</v>
      </c>
    </row>
    <row r="1188" spans="1:2" x14ac:dyDescent="0.25">
      <c r="A1188" s="1" t="s">
        <v>3845</v>
      </c>
      <c r="B1188" t="s">
        <v>1421</v>
      </c>
    </row>
    <row r="1189" spans="1:2" x14ac:dyDescent="0.25">
      <c r="A1189" s="1" t="s">
        <v>3846</v>
      </c>
      <c r="B1189" t="s">
        <v>1422</v>
      </c>
    </row>
    <row r="1190" spans="1:2" x14ac:dyDescent="0.25">
      <c r="A1190" s="1" t="s">
        <v>3847</v>
      </c>
      <c r="B1190" t="s">
        <v>1423</v>
      </c>
    </row>
    <row r="1191" spans="1:2" x14ac:dyDescent="0.25">
      <c r="A1191" s="1" t="s">
        <v>3848</v>
      </c>
      <c r="B1191" t="s">
        <v>1424</v>
      </c>
    </row>
    <row r="1192" spans="1:2" x14ac:dyDescent="0.25">
      <c r="A1192" s="1" t="s">
        <v>3849</v>
      </c>
      <c r="B1192" t="s">
        <v>1425</v>
      </c>
    </row>
    <row r="1193" spans="1:2" x14ac:dyDescent="0.25">
      <c r="A1193" s="1" t="s">
        <v>3850</v>
      </c>
      <c r="B1193" t="s">
        <v>1426</v>
      </c>
    </row>
    <row r="1194" spans="1:2" x14ac:dyDescent="0.25">
      <c r="A1194" s="1" t="s">
        <v>3851</v>
      </c>
      <c r="B1194" t="s">
        <v>1427</v>
      </c>
    </row>
    <row r="1195" spans="1:2" x14ac:dyDescent="0.25">
      <c r="A1195" s="1" t="s">
        <v>3852</v>
      </c>
      <c r="B1195" t="s">
        <v>1428</v>
      </c>
    </row>
    <row r="1196" spans="1:2" x14ac:dyDescent="0.25">
      <c r="A1196" s="1" t="s">
        <v>3853</v>
      </c>
      <c r="B1196" t="s">
        <v>1430</v>
      </c>
    </row>
    <row r="1197" spans="1:2" x14ac:dyDescent="0.25">
      <c r="A1197" s="1" t="s">
        <v>3854</v>
      </c>
      <c r="B1197" t="s">
        <v>1431</v>
      </c>
    </row>
    <row r="1198" spans="1:2" x14ac:dyDescent="0.25">
      <c r="A1198" s="1" t="s">
        <v>3855</v>
      </c>
      <c r="B1198" t="s">
        <v>1432</v>
      </c>
    </row>
    <row r="1199" spans="1:2" x14ac:dyDescent="0.25">
      <c r="A1199" s="1" t="s">
        <v>3856</v>
      </c>
      <c r="B1199" t="s">
        <v>1433</v>
      </c>
    </row>
    <row r="1200" spans="1:2" x14ac:dyDescent="0.25">
      <c r="A1200" s="1" t="s">
        <v>3857</v>
      </c>
      <c r="B1200" t="s">
        <v>1434</v>
      </c>
    </row>
    <row r="1201" spans="1:2" x14ac:dyDescent="0.25">
      <c r="A1201" s="1" t="s">
        <v>3858</v>
      </c>
      <c r="B1201" t="s">
        <v>1435</v>
      </c>
    </row>
    <row r="1202" spans="1:2" x14ac:dyDescent="0.25">
      <c r="A1202" s="1" t="s">
        <v>3859</v>
      </c>
      <c r="B1202" t="s">
        <v>1436</v>
      </c>
    </row>
    <row r="1203" spans="1:2" x14ac:dyDescent="0.25">
      <c r="A1203" s="1" t="s">
        <v>3860</v>
      </c>
      <c r="B1203" t="s">
        <v>1437</v>
      </c>
    </row>
    <row r="1204" spans="1:2" x14ac:dyDescent="0.25">
      <c r="A1204" s="1" t="s">
        <v>3861</v>
      </c>
      <c r="B1204" t="s">
        <v>1438</v>
      </c>
    </row>
    <row r="1205" spans="1:2" x14ac:dyDescent="0.25">
      <c r="A1205" s="1" t="s">
        <v>3862</v>
      </c>
      <c r="B1205" t="s">
        <v>1439</v>
      </c>
    </row>
    <row r="1206" spans="1:2" x14ac:dyDescent="0.25">
      <c r="A1206" s="1" t="s">
        <v>3863</v>
      </c>
      <c r="B1206" t="s">
        <v>1440</v>
      </c>
    </row>
    <row r="1207" spans="1:2" x14ac:dyDescent="0.25">
      <c r="A1207" s="1" t="s">
        <v>3864</v>
      </c>
      <c r="B1207" t="s">
        <v>1441</v>
      </c>
    </row>
    <row r="1208" spans="1:2" x14ac:dyDescent="0.25">
      <c r="A1208" s="1" t="s">
        <v>3865</v>
      </c>
      <c r="B1208" t="s">
        <v>1443</v>
      </c>
    </row>
    <row r="1209" spans="1:2" x14ac:dyDescent="0.25">
      <c r="A1209" s="1" t="s">
        <v>3866</v>
      </c>
      <c r="B1209" t="s">
        <v>1415</v>
      </c>
    </row>
    <row r="1210" spans="1:2" x14ac:dyDescent="0.25">
      <c r="A1210" s="1" t="s">
        <v>3867</v>
      </c>
      <c r="B1210" t="s">
        <v>1420</v>
      </c>
    </row>
    <row r="1211" spans="1:2" x14ac:dyDescent="0.25">
      <c r="A1211" s="1" t="s">
        <v>3868</v>
      </c>
      <c r="B1211" t="s">
        <v>1444</v>
      </c>
    </row>
    <row r="1212" spans="1:2" x14ac:dyDescent="0.25">
      <c r="A1212" s="1" t="s">
        <v>3869</v>
      </c>
      <c r="B1212" t="s">
        <v>1421</v>
      </c>
    </row>
    <row r="1213" spans="1:2" x14ac:dyDescent="0.25">
      <c r="A1213" s="1" t="s">
        <v>3870</v>
      </c>
      <c r="B1213" t="s">
        <v>1411</v>
      </c>
    </row>
    <row r="1214" spans="1:2" x14ac:dyDescent="0.25">
      <c r="A1214" s="1" t="s">
        <v>3871</v>
      </c>
      <c r="B1214" t="s">
        <v>1445</v>
      </c>
    </row>
    <row r="1215" spans="1:2" x14ac:dyDescent="0.25">
      <c r="A1215" s="1" t="s">
        <v>3872</v>
      </c>
      <c r="B1215" t="s">
        <v>1422</v>
      </c>
    </row>
    <row r="1216" spans="1:2" x14ac:dyDescent="0.25">
      <c r="A1216" s="1" t="s">
        <v>3873</v>
      </c>
      <c r="B1216" t="s">
        <v>1446</v>
      </c>
    </row>
    <row r="1217" spans="1:2" x14ac:dyDescent="0.25">
      <c r="A1217" s="1" t="s">
        <v>3874</v>
      </c>
      <c r="B1217" t="s">
        <v>1447</v>
      </c>
    </row>
    <row r="1218" spans="1:2" x14ac:dyDescent="0.25">
      <c r="A1218" s="1" t="s">
        <v>3875</v>
      </c>
      <c r="B1218" t="s">
        <v>1449</v>
      </c>
    </row>
    <row r="1219" spans="1:2" x14ac:dyDescent="0.25">
      <c r="A1219" s="1" t="s">
        <v>3876</v>
      </c>
      <c r="B1219" t="s">
        <v>1450</v>
      </c>
    </row>
    <row r="1220" spans="1:2" x14ac:dyDescent="0.25">
      <c r="A1220" s="1" t="s">
        <v>3877</v>
      </c>
      <c r="B1220" t="s">
        <v>1451</v>
      </c>
    </row>
    <row r="1221" spans="1:2" x14ac:dyDescent="0.25">
      <c r="A1221" s="1" t="s">
        <v>3878</v>
      </c>
      <c r="B1221" t="s">
        <v>1452</v>
      </c>
    </row>
    <row r="1222" spans="1:2" x14ac:dyDescent="0.25">
      <c r="A1222" s="1" t="s">
        <v>3879</v>
      </c>
      <c r="B1222" t="s">
        <v>1453</v>
      </c>
    </row>
    <row r="1223" spans="1:2" x14ac:dyDescent="0.25">
      <c r="A1223" s="1" t="s">
        <v>3880</v>
      </c>
      <c r="B1223" t="s">
        <v>1454</v>
      </c>
    </row>
    <row r="1224" spans="1:2" x14ac:dyDescent="0.25">
      <c r="A1224" s="1" t="s">
        <v>3881</v>
      </c>
      <c r="B1224" t="s">
        <v>1456</v>
      </c>
    </row>
    <row r="1225" spans="1:2" x14ac:dyDescent="0.25">
      <c r="A1225" s="1" t="s">
        <v>3882</v>
      </c>
      <c r="B1225" t="s">
        <v>1457</v>
      </c>
    </row>
    <row r="1226" spans="1:2" x14ac:dyDescent="0.25">
      <c r="A1226" s="1" t="s">
        <v>3883</v>
      </c>
      <c r="B1226" t="s">
        <v>1458</v>
      </c>
    </row>
    <row r="1227" spans="1:2" x14ac:dyDescent="0.25">
      <c r="A1227" s="1" t="s">
        <v>3884</v>
      </c>
      <c r="B1227" t="s">
        <v>1459</v>
      </c>
    </row>
    <row r="1228" spans="1:2" x14ac:dyDescent="0.25">
      <c r="A1228" s="1" t="s">
        <v>3885</v>
      </c>
      <c r="B1228" t="s">
        <v>42</v>
      </c>
    </row>
    <row r="1229" spans="1:2" x14ac:dyDescent="0.25">
      <c r="A1229" s="1" t="s">
        <v>3886</v>
      </c>
      <c r="B1229" t="s">
        <v>1460</v>
      </c>
    </row>
    <row r="1230" spans="1:2" x14ac:dyDescent="0.25">
      <c r="A1230" s="1" t="s">
        <v>3887</v>
      </c>
      <c r="B1230" t="s">
        <v>1461</v>
      </c>
    </row>
    <row r="1231" spans="1:2" x14ac:dyDescent="0.25">
      <c r="A1231" s="1" t="s">
        <v>3888</v>
      </c>
      <c r="B1231" t="s">
        <v>1462</v>
      </c>
    </row>
    <row r="1232" spans="1:2" x14ac:dyDescent="0.25">
      <c r="A1232" s="1" t="s">
        <v>3889</v>
      </c>
      <c r="B1232" t="s">
        <v>1463</v>
      </c>
    </row>
    <row r="1233" spans="1:2" x14ac:dyDescent="0.25">
      <c r="A1233" s="1" t="s">
        <v>3890</v>
      </c>
      <c r="B1233" t="s">
        <v>1464</v>
      </c>
    </row>
    <row r="1234" spans="1:2" x14ac:dyDescent="0.25">
      <c r="A1234" s="1" t="s">
        <v>3891</v>
      </c>
      <c r="B1234" t="s">
        <v>1465</v>
      </c>
    </row>
    <row r="1235" spans="1:2" x14ac:dyDescent="0.25">
      <c r="A1235" s="1" t="s">
        <v>3892</v>
      </c>
      <c r="B1235" t="s">
        <v>1467</v>
      </c>
    </row>
    <row r="1236" spans="1:2" x14ac:dyDescent="0.25">
      <c r="A1236" s="1" t="s">
        <v>3893</v>
      </c>
      <c r="B1236" t="s">
        <v>1468</v>
      </c>
    </row>
    <row r="1237" spans="1:2" x14ac:dyDescent="0.25">
      <c r="A1237" s="1" t="s">
        <v>3894</v>
      </c>
      <c r="B1237" t="s">
        <v>1469</v>
      </c>
    </row>
    <row r="1238" spans="1:2" x14ac:dyDescent="0.25">
      <c r="A1238" s="1" t="s">
        <v>3895</v>
      </c>
      <c r="B1238" t="s">
        <v>1470</v>
      </c>
    </row>
    <row r="1239" spans="1:2" x14ac:dyDescent="0.25">
      <c r="A1239" s="1" t="s">
        <v>3896</v>
      </c>
      <c r="B1239" t="s">
        <v>1472</v>
      </c>
    </row>
    <row r="1240" spans="1:2" x14ac:dyDescent="0.25">
      <c r="A1240" s="1" t="s">
        <v>3897</v>
      </c>
      <c r="B1240" t="s">
        <v>1473</v>
      </c>
    </row>
    <row r="1241" spans="1:2" x14ac:dyDescent="0.25">
      <c r="A1241" s="1" t="s">
        <v>3898</v>
      </c>
      <c r="B1241" t="s">
        <v>1474</v>
      </c>
    </row>
    <row r="1242" spans="1:2" x14ac:dyDescent="0.25">
      <c r="A1242" s="1" t="s">
        <v>3899</v>
      </c>
      <c r="B1242" t="s">
        <v>1475</v>
      </c>
    </row>
    <row r="1243" spans="1:2" x14ac:dyDescent="0.25">
      <c r="A1243" s="1" t="s">
        <v>3900</v>
      </c>
      <c r="B1243" t="s">
        <v>1476</v>
      </c>
    </row>
    <row r="1244" spans="1:2" x14ac:dyDescent="0.25">
      <c r="A1244" s="1" t="s">
        <v>3901</v>
      </c>
      <c r="B1244" t="s">
        <v>1477</v>
      </c>
    </row>
    <row r="1245" spans="1:2" x14ac:dyDescent="0.25">
      <c r="A1245" s="1" t="s">
        <v>3902</v>
      </c>
      <c r="B1245" t="s">
        <v>1478</v>
      </c>
    </row>
    <row r="1246" spans="1:2" x14ac:dyDescent="0.25">
      <c r="A1246" s="1" t="s">
        <v>3903</v>
      </c>
      <c r="B1246" t="s">
        <v>1479</v>
      </c>
    </row>
    <row r="1247" spans="1:2" x14ac:dyDescent="0.25">
      <c r="A1247" s="1" t="s">
        <v>3904</v>
      </c>
      <c r="B1247" t="s">
        <v>1480</v>
      </c>
    </row>
    <row r="1248" spans="1:2" x14ac:dyDescent="0.25">
      <c r="A1248" s="1" t="s">
        <v>3905</v>
      </c>
      <c r="B1248" t="s">
        <v>1482</v>
      </c>
    </row>
    <row r="1249" spans="1:2" x14ac:dyDescent="0.25">
      <c r="A1249" s="1" t="s">
        <v>3906</v>
      </c>
      <c r="B1249" t="s">
        <v>1483</v>
      </c>
    </row>
    <row r="1250" spans="1:2" x14ac:dyDescent="0.25">
      <c r="A1250" s="1" t="s">
        <v>3907</v>
      </c>
      <c r="B1250" t="s">
        <v>1485</v>
      </c>
    </row>
    <row r="1251" spans="1:2" x14ac:dyDescent="0.25">
      <c r="A1251" s="1" t="s">
        <v>3908</v>
      </c>
      <c r="B1251" t="s">
        <v>1486</v>
      </c>
    </row>
    <row r="1252" spans="1:2" x14ac:dyDescent="0.25">
      <c r="A1252" s="1" t="s">
        <v>3909</v>
      </c>
      <c r="B1252" t="s">
        <v>1487</v>
      </c>
    </row>
    <row r="1253" spans="1:2" x14ac:dyDescent="0.25">
      <c r="A1253" s="1" t="s">
        <v>3910</v>
      </c>
      <c r="B1253" t="s">
        <v>1488</v>
      </c>
    </row>
    <row r="1254" spans="1:2" x14ac:dyDescent="0.25">
      <c r="A1254" s="1" t="s">
        <v>3911</v>
      </c>
      <c r="B1254" t="s">
        <v>1489</v>
      </c>
    </row>
    <row r="1255" spans="1:2" x14ac:dyDescent="0.25">
      <c r="A1255" s="1" t="s">
        <v>3912</v>
      </c>
      <c r="B1255" t="s">
        <v>1490</v>
      </c>
    </row>
    <row r="1256" spans="1:2" x14ac:dyDescent="0.25">
      <c r="A1256" s="1" t="s">
        <v>3913</v>
      </c>
      <c r="B1256" t="s">
        <v>1492</v>
      </c>
    </row>
    <row r="1257" spans="1:2" x14ac:dyDescent="0.25">
      <c r="A1257" s="1" t="s">
        <v>3914</v>
      </c>
      <c r="B1257" t="s">
        <v>1493</v>
      </c>
    </row>
    <row r="1258" spans="1:2" x14ac:dyDescent="0.25">
      <c r="A1258" s="1" t="s">
        <v>3915</v>
      </c>
      <c r="B1258" t="s">
        <v>1494</v>
      </c>
    </row>
    <row r="1259" spans="1:2" x14ac:dyDescent="0.25">
      <c r="A1259" s="1" t="s">
        <v>3916</v>
      </c>
      <c r="B1259" t="s">
        <v>1496</v>
      </c>
    </row>
    <row r="1260" spans="1:2" x14ac:dyDescent="0.25">
      <c r="A1260" s="1" t="s">
        <v>3917</v>
      </c>
      <c r="B1260" t="s">
        <v>1497</v>
      </c>
    </row>
    <row r="1261" spans="1:2" x14ac:dyDescent="0.25">
      <c r="A1261" s="1" t="s">
        <v>3918</v>
      </c>
      <c r="B1261" t="s">
        <v>1498</v>
      </c>
    </row>
    <row r="1262" spans="1:2" x14ac:dyDescent="0.25">
      <c r="A1262" s="1" t="s">
        <v>3919</v>
      </c>
      <c r="B1262" t="s">
        <v>1500</v>
      </c>
    </row>
    <row r="1263" spans="1:2" x14ac:dyDescent="0.25">
      <c r="A1263" s="1" t="s">
        <v>3920</v>
      </c>
      <c r="B1263" t="s">
        <v>1501</v>
      </c>
    </row>
    <row r="1264" spans="1:2" x14ac:dyDescent="0.25">
      <c r="A1264" s="1" t="s">
        <v>3921</v>
      </c>
      <c r="B1264" t="s">
        <v>1502</v>
      </c>
    </row>
    <row r="1265" spans="1:2" x14ac:dyDescent="0.25">
      <c r="A1265" s="1" t="s">
        <v>3922</v>
      </c>
      <c r="B1265" t="s">
        <v>1503</v>
      </c>
    </row>
    <row r="1266" spans="1:2" x14ac:dyDescent="0.25">
      <c r="A1266" s="1" t="s">
        <v>3923</v>
      </c>
      <c r="B1266" t="s">
        <v>1504</v>
      </c>
    </row>
    <row r="1267" spans="1:2" x14ac:dyDescent="0.25">
      <c r="A1267" s="1" t="s">
        <v>3924</v>
      </c>
      <c r="B1267" t="s">
        <v>1506</v>
      </c>
    </row>
    <row r="1268" spans="1:2" x14ac:dyDescent="0.25">
      <c r="A1268" s="1" t="s">
        <v>3925</v>
      </c>
      <c r="B1268" t="s">
        <v>1507</v>
      </c>
    </row>
    <row r="1269" spans="1:2" x14ac:dyDescent="0.25">
      <c r="A1269" s="1" t="s">
        <v>3926</v>
      </c>
      <c r="B1269" t="s">
        <v>1511</v>
      </c>
    </row>
    <row r="1270" spans="1:2" x14ac:dyDescent="0.25">
      <c r="A1270" s="1" t="s">
        <v>3927</v>
      </c>
      <c r="B1270" t="s">
        <v>1508</v>
      </c>
    </row>
    <row r="1271" spans="1:2" x14ac:dyDescent="0.25">
      <c r="A1271" s="1" t="s">
        <v>3928</v>
      </c>
      <c r="B1271" t="s">
        <v>1509</v>
      </c>
    </row>
    <row r="1272" spans="1:2" x14ac:dyDescent="0.25">
      <c r="A1272" s="1" t="s">
        <v>3929</v>
      </c>
      <c r="B1272" t="s">
        <v>1510</v>
      </c>
    </row>
    <row r="1273" spans="1:2" x14ac:dyDescent="0.25">
      <c r="A1273" s="1" t="s">
        <v>3930</v>
      </c>
      <c r="B1273" t="s">
        <v>1511</v>
      </c>
    </row>
    <row r="1274" spans="1:2" x14ac:dyDescent="0.25">
      <c r="A1274" s="1" t="s">
        <v>3931</v>
      </c>
      <c r="B1274" t="s">
        <v>1514</v>
      </c>
    </row>
    <row r="1275" spans="1:2" x14ac:dyDescent="0.25">
      <c r="A1275" s="1" t="s">
        <v>3932</v>
      </c>
      <c r="B1275" t="s">
        <v>1470</v>
      </c>
    </row>
    <row r="1276" spans="1:2" x14ac:dyDescent="0.25">
      <c r="A1276" s="1" t="s">
        <v>3933</v>
      </c>
      <c r="B1276" t="s">
        <v>1516</v>
      </c>
    </row>
    <row r="1277" spans="1:2" x14ac:dyDescent="0.25">
      <c r="A1277" s="1" t="s">
        <v>3934</v>
      </c>
      <c r="B1277" t="s">
        <v>1517</v>
      </c>
    </row>
    <row r="1278" spans="1:2" x14ac:dyDescent="0.25">
      <c r="A1278" s="1" t="s">
        <v>3935</v>
      </c>
      <c r="B1278" t="s">
        <v>1519</v>
      </c>
    </row>
    <row r="1279" spans="1:2" x14ac:dyDescent="0.25">
      <c r="A1279" s="1" t="s">
        <v>3936</v>
      </c>
      <c r="B1279" t="s">
        <v>1521</v>
      </c>
    </row>
    <row r="1280" spans="1:2" x14ac:dyDescent="0.25">
      <c r="A1280" s="1" t="s">
        <v>3937</v>
      </c>
      <c r="B1280" t="s">
        <v>1522</v>
      </c>
    </row>
    <row r="1281" spans="1:2" x14ac:dyDescent="0.25">
      <c r="A1281" s="1" t="s">
        <v>3938</v>
      </c>
      <c r="B1281" t="s">
        <v>1523</v>
      </c>
    </row>
    <row r="1282" spans="1:2" x14ac:dyDescent="0.25">
      <c r="A1282" s="1" t="s">
        <v>3939</v>
      </c>
      <c r="B1282" t="s">
        <v>1524</v>
      </c>
    </row>
    <row r="1283" spans="1:2" x14ac:dyDescent="0.25">
      <c r="A1283" s="1" t="s">
        <v>3940</v>
      </c>
      <c r="B1283" t="s">
        <v>1526</v>
      </c>
    </row>
    <row r="1284" spans="1:2" x14ac:dyDescent="0.25">
      <c r="A1284" s="1" t="s">
        <v>3941</v>
      </c>
      <c r="B1284" t="s">
        <v>1527</v>
      </c>
    </row>
    <row r="1285" spans="1:2" x14ac:dyDescent="0.25">
      <c r="A1285" s="1" t="s">
        <v>3942</v>
      </c>
      <c r="B1285" t="s">
        <v>1528</v>
      </c>
    </row>
    <row r="1286" spans="1:2" x14ac:dyDescent="0.25">
      <c r="A1286" s="1" t="s">
        <v>3943</v>
      </c>
      <c r="B1286" t="s">
        <v>1529</v>
      </c>
    </row>
    <row r="1287" spans="1:2" x14ac:dyDescent="0.25">
      <c r="A1287" s="1" t="s">
        <v>3944</v>
      </c>
      <c r="B1287" t="s">
        <v>1530</v>
      </c>
    </row>
    <row r="1288" spans="1:2" x14ac:dyDescent="0.25">
      <c r="A1288" s="1" t="s">
        <v>3945</v>
      </c>
      <c r="B1288" t="s">
        <v>1531</v>
      </c>
    </row>
    <row r="1289" spans="1:2" x14ac:dyDescent="0.25">
      <c r="A1289" s="1" t="s">
        <v>3946</v>
      </c>
      <c r="B1289" t="s">
        <v>1532</v>
      </c>
    </row>
    <row r="1290" spans="1:2" x14ac:dyDescent="0.25">
      <c r="A1290" s="1" t="s">
        <v>3947</v>
      </c>
      <c r="B1290" t="s">
        <v>1533</v>
      </c>
    </row>
    <row r="1291" spans="1:2" x14ac:dyDescent="0.25">
      <c r="A1291" s="1" t="s">
        <v>3948</v>
      </c>
      <c r="B1291" t="s">
        <v>1534</v>
      </c>
    </row>
    <row r="1292" spans="1:2" x14ac:dyDescent="0.25">
      <c r="A1292" s="1" t="s">
        <v>3949</v>
      </c>
      <c r="B1292" t="s">
        <v>1535</v>
      </c>
    </row>
    <row r="1293" spans="1:2" x14ac:dyDescent="0.25">
      <c r="A1293" s="1" t="s">
        <v>3950</v>
      </c>
      <c r="B1293" t="s">
        <v>1536</v>
      </c>
    </row>
    <row r="1294" spans="1:2" x14ac:dyDescent="0.25">
      <c r="A1294" s="1" t="s">
        <v>3951</v>
      </c>
      <c r="B1294" t="s">
        <v>1538</v>
      </c>
    </row>
    <row r="1295" spans="1:2" x14ac:dyDescent="0.25">
      <c r="A1295" s="1" t="s">
        <v>3952</v>
      </c>
      <c r="B1295" t="s">
        <v>1539</v>
      </c>
    </row>
    <row r="1296" spans="1:2" x14ac:dyDescent="0.25">
      <c r="A1296" s="1" t="s">
        <v>3953</v>
      </c>
      <c r="B1296" t="s">
        <v>1541</v>
      </c>
    </row>
    <row r="1297" spans="1:2" x14ac:dyDescent="0.25">
      <c r="A1297" s="1" t="s">
        <v>3954</v>
      </c>
      <c r="B1297" t="s">
        <v>1542</v>
      </c>
    </row>
    <row r="1298" spans="1:2" x14ac:dyDescent="0.25">
      <c r="A1298" s="1" t="s">
        <v>3955</v>
      </c>
      <c r="B1298" t="s">
        <v>1543</v>
      </c>
    </row>
    <row r="1299" spans="1:2" x14ac:dyDescent="0.25">
      <c r="A1299" s="1" t="s">
        <v>3956</v>
      </c>
      <c r="B1299" t="s">
        <v>1544</v>
      </c>
    </row>
    <row r="1300" spans="1:2" x14ac:dyDescent="0.25">
      <c r="A1300" s="1" t="s">
        <v>3957</v>
      </c>
      <c r="B1300" t="s">
        <v>1545</v>
      </c>
    </row>
    <row r="1301" spans="1:2" x14ac:dyDescent="0.25">
      <c r="A1301" s="1" t="s">
        <v>3958</v>
      </c>
      <c r="B1301" t="s">
        <v>1546</v>
      </c>
    </row>
    <row r="1302" spans="1:2" x14ac:dyDescent="0.25">
      <c r="A1302" s="1" t="s">
        <v>3959</v>
      </c>
      <c r="B1302" t="s">
        <v>1548</v>
      </c>
    </row>
    <row r="1303" spans="1:2" x14ac:dyDescent="0.25">
      <c r="A1303" s="1" t="s">
        <v>3960</v>
      </c>
      <c r="B1303" t="s">
        <v>1552</v>
      </c>
    </row>
    <row r="1304" spans="1:2" x14ac:dyDescent="0.25">
      <c r="A1304" s="1" t="s">
        <v>3961</v>
      </c>
      <c r="B1304" t="s">
        <v>1553</v>
      </c>
    </row>
    <row r="1305" spans="1:2" x14ac:dyDescent="0.25">
      <c r="A1305" s="1" t="s">
        <v>3962</v>
      </c>
      <c r="B1305" t="s">
        <v>1555</v>
      </c>
    </row>
    <row r="1306" spans="1:2" x14ac:dyDescent="0.25">
      <c r="A1306" s="1" t="s">
        <v>3963</v>
      </c>
      <c r="B1306" t="s">
        <v>1556</v>
      </c>
    </row>
    <row r="1307" spans="1:2" x14ac:dyDescent="0.25">
      <c r="A1307" s="1" t="s">
        <v>3964</v>
      </c>
      <c r="B1307" t="s">
        <v>1557</v>
      </c>
    </row>
    <row r="1308" spans="1:2" x14ac:dyDescent="0.25">
      <c r="A1308" s="1" t="s">
        <v>3965</v>
      </c>
      <c r="B1308" t="s">
        <v>1558</v>
      </c>
    </row>
    <row r="1309" spans="1:2" x14ac:dyDescent="0.25">
      <c r="A1309" s="1" t="s">
        <v>3966</v>
      </c>
      <c r="B1309" t="s">
        <v>1559</v>
      </c>
    </row>
    <row r="1310" spans="1:2" x14ac:dyDescent="0.25">
      <c r="A1310" s="1" t="s">
        <v>3967</v>
      </c>
      <c r="B1310" t="s">
        <v>1561</v>
      </c>
    </row>
    <row r="1311" spans="1:2" x14ac:dyDescent="0.25">
      <c r="A1311" s="1" t="s">
        <v>3968</v>
      </c>
      <c r="B1311" t="s">
        <v>1563</v>
      </c>
    </row>
    <row r="1312" spans="1:2" x14ac:dyDescent="0.25">
      <c r="A1312" s="1" t="s">
        <v>3969</v>
      </c>
      <c r="B1312" t="s">
        <v>1566</v>
      </c>
    </row>
    <row r="1313" spans="1:2" x14ac:dyDescent="0.25">
      <c r="A1313" s="1" t="s">
        <v>3970</v>
      </c>
      <c r="B1313" t="s">
        <v>1568</v>
      </c>
    </row>
    <row r="1314" spans="1:2" x14ac:dyDescent="0.25">
      <c r="A1314" s="1" t="s">
        <v>3971</v>
      </c>
      <c r="B1314" t="s">
        <v>1570</v>
      </c>
    </row>
    <row r="1315" spans="1:2" x14ac:dyDescent="0.25">
      <c r="A1315" s="1" t="s">
        <v>3972</v>
      </c>
      <c r="B1315" t="s">
        <v>1573</v>
      </c>
    </row>
    <row r="1316" spans="1:2" x14ac:dyDescent="0.25">
      <c r="A1316" s="1" t="s">
        <v>3973</v>
      </c>
      <c r="B1316" t="s">
        <v>1574</v>
      </c>
    </row>
    <row r="1317" spans="1:2" x14ac:dyDescent="0.25">
      <c r="A1317" s="1" t="s">
        <v>3974</v>
      </c>
      <c r="B1317" t="s">
        <v>1575</v>
      </c>
    </row>
    <row r="1318" spans="1:2" x14ac:dyDescent="0.25">
      <c r="A1318" s="1" t="s">
        <v>3975</v>
      </c>
      <c r="B1318" t="s">
        <v>1576</v>
      </c>
    </row>
    <row r="1319" spans="1:2" x14ac:dyDescent="0.25">
      <c r="A1319" s="1" t="s">
        <v>3976</v>
      </c>
      <c r="B1319" t="s">
        <v>1577</v>
      </c>
    </row>
    <row r="1320" spans="1:2" x14ac:dyDescent="0.25">
      <c r="A1320" s="1" t="s">
        <v>3977</v>
      </c>
      <c r="B1320" t="s">
        <v>1579</v>
      </c>
    </row>
    <row r="1321" spans="1:2" x14ac:dyDescent="0.25">
      <c r="A1321" s="1" t="s">
        <v>3978</v>
      </c>
      <c r="B1321" t="s">
        <v>1583</v>
      </c>
    </row>
    <row r="1322" spans="1:2" x14ac:dyDescent="0.25">
      <c r="A1322" s="1" t="s">
        <v>3979</v>
      </c>
      <c r="B1322" t="s">
        <v>1584</v>
      </c>
    </row>
    <row r="1323" spans="1:2" x14ac:dyDescent="0.25">
      <c r="A1323" s="1" t="s">
        <v>3980</v>
      </c>
      <c r="B1323" t="s">
        <v>1585</v>
      </c>
    </row>
    <row r="1324" spans="1:2" x14ac:dyDescent="0.25">
      <c r="A1324" s="1" t="s">
        <v>3981</v>
      </c>
      <c r="B1324" t="s">
        <v>1586</v>
      </c>
    </row>
    <row r="1325" spans="1:2" x14ac:dyDescent="0.25">
      <c r="A1325" s="1" t="s">
        <v>3982</v>
      </c>
      <c r="B1325" t="s">
        <v>1587</v>
      </c>
    </row>
    <row r="1326" spans="1:2" x14ac:dyDescent="0.25">
      <c r="A1326" s="1" t="s">
        <v>3983</v>
      </c>
      <c r="B1326" t="s">
        <v>1588</v>
      </c>
    </row>
    <row r="1327" spans="1:2" x14ac:dyDescent="0.25">
      <c r="A1327" s="1" t="s">
        <v>3984</v>
      </c>
      <c r="B1327" t="s">
        <v>1589</v>
      </c>
    </row>
    <row r="1328" spans="1:2" x14ac:dyDescent="0.25">
      <c r="A1328" s="1" t="s">
        <v>3985</v>
      </c>
      <c r="B1328" t="s">
        <v>1590</v>
      </c>
    </row>
    <row r="1329" spans="1:2" x14ac:dyDescent="0.25">
      <c r="A1329" s="1" t="s">
        <v>3986</v>
      </c>
      <c r="B1329" t="s">
        <v>1591</v>
      </c>
    </row>
    <row r="1330" spans="1:2" x14ac:dyDescent="0.25">
      <c r="A1330" s="1" t="s">
        <v>3987</v>
      </c>
      <c r="B1330" t="s">
        <v>1592</v>
      </c>
    </row>
    <row r="1331" spans="1:2" x14ac:dyDescent="0.25">
      <c r="A1331" s="1" t="s">
        <v>3988</v>
      </c>
      <c r="B1331" t="s">
        <v>1593</v>
      </c>
    </row>
    <row r="1332" spans="1:2" x14ac:dyDescent="0.25">
      <c r="A1332" s="1" t="s">
        <v>3989</v>
      </c>
      <c r="B1332" t="s">
        <v>1594</v>
      </c>
    </row>
    <row r="1333" spans="1:2" x14ac:dyDescent="0.25">
      <c r="A1333" s="1" t="s">
        <v>3990</v>
      </c>
      <c r="B1333" t="s">
        <v>1595</v>
      </c>
    </row>
    <row r="1334" spans="1:2" x14ac:dyDescent="0.25">
      <c r="A1334" s="1" t="s">
        <v>3991</v>
      </c>
      <c r="B1334" t="s">
        <v>1596</v>
      </c>
    </row>
    <row r="1335" spans="1:2" x14ac:dyDescent="0.25">
      <c r="A1335" s="1" t="s">
        <v>3992</v>
      </c>
      <c r="B1335" t="s">
        <v>1597</v>
      </c>
    </row>
    <row r="1336" spans="1:2" x14ac:dyDescent="0.25">
      <c r="A1336" s="1" t="s">
        <v>3993</v>
      </c>
      <c r="B1336" t="s">
        <v>1598</v>
      </c>
    </row>
    <row r="1337" spans="1:2" x14ac:dyDescent="0.25">
      <c r="A1337" s="1" t="s">
        <v>3994</v>
      </c>
      <c r="B1337" t="s">
        <v>1599</v>
      </c>
    </row>
    <row r="1338" spans="1:2" x14ac:dyDescent="0.25">
      <c r="A1338" s="1" t="s">
        <v>3995</v>
      </c>
      <c r="B1338" t="s">
        <v>1601</v>
      </c>
    </row>
    <row r="1339" spans="1:2" x14ac:dyDescent="0.25">
      <c r="A1339" s="1" t="s">
        <v>3996</v>
      </c>
      <c r="B1339" t="s">
        <v>1603</v>
      </c>
    </row>
    <row r="1340" spans="1:2" x14ac:dyDescent="0.25">
      <c r="A1340" s="1" t="s">
        <v>3997</v>
      </c>
      <c r="B1340" t="s">
        <v>1604</v>
      </c>
    </row>
    <row r="1341" spans="1:2" x14ac:dyDescent="0.25">
      <c r="A1341" s="1" t="s">
        <v>3998</v>
      </c>
      <c r="B1341" t="s">
        <v>1605</v>
      </c>
    </row>
    <row r="1342" spans="1:2" x14ac:dyDescent="0.25">
      <c r="A1342" s="1" t="s">
        <v>3999</v>
      </c>
      <c r="B1342" t="s">
        <v>1606</v>
      </c>
    </row>
    <row r="1343" spans="1:2" x14ac:dyDescent="0.25">
      <c r="A1343" s="1" t="s">
        <v>4000</v>
      </c>
      <c r="B1343" t="s">
        <v>1607</v>
      </c>
    </row>
    <row r="1344" spans="1:2" x14ac:dyDescent="0.25">
      <c r="A1344" s="1" t="s">
        <v>4001</v>
      </c>
      <c r="B1344" t="s">
        <v>1608</v>
      </c>
    </row>
    <row r="1345" spans="1:2" x14ac:dyDescent="0.25">
      <c r="A1345" s="1" t="s">
        <v>4002</v>
      </c>
      <c r="B1345" t="s">
        <v>1609</v>
      </c>
    </row>
    <row r="1346" spans="1:2" x14ac:dyDescent="0.25">
      <c r="A1346" s="1" t="s">
        <v>4003</v>
      </c>
      <c r="B1346" t="s">
        <v>1611</v>
      </c>
    </row>
    <row r="1347" spans="1:2" x14ac:dyDescent="0.25">
      <c r="A1347" s="1" t="s">
        <v>4004</v>
      </c>
      <c r="B1347" t="s">
        <v>1613</v>
      </c>
    </row>
    <row r="1348" spans="1:2" x14ac:dyDescent="0.25">
      <c r="A1348" s="1" t="s">
        <v>4005</v>
      </c>
      <c r="B1348" t="s">
        <v>1614</v>
      </c>
    </row>
    <row r="1349" spans="1:2" x14ac:dyDescent="0.25">
      <c r="A1349" s="1" t="s">
        <v>4006</v>
      </c>
      <c r="B1349" t="s">
        <v>1615</v>
      </c>
    </row>
    <row r="1350" spans="1:2" x14ac:dyDescent="0.25">
      <c r="A1350" s="1" t="s">
        <v>4007</v>
      </c>
      <c r="B1350" t="s">
        <v>1617</v>
      </c>
    </row>
    <row r="1351" spans="1:2" x14ac:dyDescent="0.25">
      <c r="A1351" s="1" t="s">
        <v>4008</v>
      </c>
      <c r="B1351" t="s">
        <v>1618</v>
      </c>
    </row>
    <row r="1352" spans="1:2" x14ac:dyDescent="0.25">
      <c r="A1352" s="1" t="s">
        <v>4009</v>
      </c>
      <c r="B1352" t="s">
        <v>1619</v>
      </c>
    </row>
    <row r="1353" spans="1:2" x14ac:dyDescent="0.25">
      <c r="A1353" s="1" t="s">
        <v>4010</v>
      </c>
      <c r="B1353" t="s">
        <v>1620</v>
      </c>
    </row>
    <row r="1354" spans="1:2" x14ac:dyDescent="0.25">
      <c r="A1354" s="1" t="s">
        <v>4011</v>
      </c>
      <c r="B1354" t="s">
        <v>1621</v>
      </c>
    </row>
    <row r="1355" spans="1:2" x14ac:dyDescent="0.25">
      <c r="A1355" s="1" t="s">
        <v>4012</v>
      </c>
      <c r="B1355" t="s">
        <v>1622</v>
      </c>
    </row>
    <row r="1356" spans="1:2" x14ac:dyDescent="0.25">
      <c r="A1356" s="1" t="s">
        <v>4013</v>
      </c>
      <c r="B1356" t="s">
        <v>1623</v>
      </c>
    </row>
    <row r="1357" spans="1:2" x14ac:dyDescent="0.25">
      <c r="A1357" s="1" t="s">
        <v>4014</v>
      </c>
      <c r="B1357" t="s">
        <v>1624</v>
      </c>
    </row>
    <row r="1358" spans="1:2" x14ac:dyDescent="0.25">
      <c r="A1358" s="1" t="s">
        <v>4015</v>
      </c>
      <c r="B1358" t="s">
        <v>1625</v>
      </c>
    </row>
    <row r="1359" spans="1:2" x14ac:dyDescent="0.25">
      <c r="A1359" s="1" t="s">
        <v>4016</v>
      </c>
      <c r="B1359" t="s">
        <v>1627</v>
      </c>
    </row>
    <row r="1360" spans="1:2" x14ac:dyDescent="0.25">
      <c r="A1360" s="1" t="s">
        <v>4017</v>
      </c>
      <c r="B1360" t="s">
        <v>1628</v>
      </c>
    </row>
    <row r="1361" spans="1:2" x14ac:dyDescent="0.25">
      <c r="A1361" s="1" t="s">
        <v>4018</v>
      </c>
      <c r="B1361" t="s">
        <v>1629</v>
      </c>
    </row>
    <row r="1362" spans="1:2" x14ac:dyDescent="0.25">
      <c r="A1362" s="1" t="s">
        <v>4019</v>
      </c>
      <c r="B1362" t="s">
        <v>1630</v>
      </c>
    </row>
    <row r="1363" spans="1:2" x14ac:dyDescent="0.25">
      <c r="A1363" s="1" t="s">
        <v>4020</v>
      </c>
      <c r="B1363" t="s">
        <v>1631</v>
      </c>
    </row>
    <row r="1364" spans="1:2" x14ac:dyDescent="0.25">
      <c r="A1364" s="1" t="s">
        <v>4021</v>
      </c>
      <c r="B1364" t="s">
        <v>1632</v>
      </c>
    </row>
    <row r="1365" spans="1:2" x14ac:dyDescent="0.25">
      <c r="A1365" s="1" t="s">
        <v>4022</v>
      </c>
      <c r="B1365" t="s">
        <v>1633</v>
      </c>
    </row>
    <row r="1366" spans="1:2" x14ac:dyDescent="0.25">
      <c r="A1366" s="1" t="s">
        <v>4023</v>
      </c>
      <c r="B1366" t="s">
        <v>1636</v>
      </c>
    </row>
    <row r="1367" spans="1:2" x14ac:dyDescent="0.25">
      <c r="A1367" s="1" t="s">
        <v>4024</v>
      </c>
      <c r="B1367" t="s">
        <v>1637</v>
      </c>
    </row>
    <row r="1368" spans="1:2" x14ac:dyDescent="0.25">
      <c r="A1368" s="1" t="s">
        <v>4025</v>
      </c>
      <c r="B1368" t="s">
        <v>1638</v>
      </c>
    </row>
    <row r="1369" spans="1:2" x14ac:dyDescent="0.25">
      <c r="A1369" s="1" t="s">
        <v>4026</v>
      </c>
      <c r="B1369" t="s">
        <v>1639</v>
      </c>
    </row>
    <row r="1370" spans="1:2" x14ac:dyDescent="0.25">
      <c r="A1370" s="1" t="s">
        <v>4027</v>
      </c>
      <c r="B1370" t="s">
        <v>1640</v>
      </c>
    </row>
    <row r="1371" spans="1:2" x14ac:dyDescent="0.25">
      <c r="A1371" s="1" t="s">
        <v>4028</v>
      </c>
      <c r="B1371" t="s">
        <v>1641</v>
      </c>
    </row>
    <row r="1372" spans="1:2" x14ac:dyDescent="0.25">
      <c r="A1372" s="1" t="s">
        <v>4029</v>
      </c>
      <c r="B1372" t="s">
        <v>1642</v>
      </c>
    </row>
    <row r="1373" spans="1:2" x14ac:dyDescent="0.25">
      <c r="A1373" s="1" t="s">
        <v>4030</v>
      </c>
      <c r="B1373" t="s">
        <v>1643</v>
      </c>
    </row>
    <row r="1374" spans="1:2" x14ac:dyDescent="0.25">
      <c r="A1374" s="1" t="s">
        <v>4031</v>
      </c>
      <c r="B1374" t="s">
        <v>1645</v>
      </c>
    </row>
    <row r="1375" spans="1:2" x14ac:dyDescent="0.25">
      <c r="A1375" s="1" t="s">
        <v>4032</v>
      </c>
      <c r="B1375" t="s">
        <v>1646</v>
      </c>
    </row>
    <row r="1376" spans="1:2" x14ac:dyDescent="0.25">
      <c r="A1376" s="1" t="s">
        <v>4033</v>
      </c>
      <c r="B1376" t="s">
        <v>1648</v>
      </c>
    </row>
    <row r="1377" spans="1:2" x14ac:dyDescent="0.25">
      <c r="A1377" s="1" t="s">
        <v>4034</v>
      </c>
      <c r="B1377" t="s">
        <v>1649</v>
      </c>
    </row>
    <row r="1378" spans="1:2" x14ac:dyDescent="0.25">
      <c r="A1378" s="1" t="s">
        <v>4035</v>
      </c>
      <c r="B1378" t="s">
        <v>1650</v>
      </c>
    </row>
    <row r="1379" spans="1:2" x14ac:dyDescent="0.25">
      <c r="A1379" s="1" t="s">
        <v>4036</v>
      </c>
      <c r="B1379" t="s">
        <v>1651</v>
      </c>
    </row>
    <row r="1380" spans="1:2" x14ac:dyDescent="0.25">
      <c r="A1380" s="1" t="s">
        <v>4037</v>
      </c>
      <c r="B1380" t="s">
        <v>1652</v>
      </c>
    </row>
    <row r="1381" spans="1:2" x14ac:dyDescent="0.25">
      <c r="A1381" s="1" t="s">
        <v>4038</v>
      </c>
      <c r="B1381" t="s">
        <v>1654</v>
      </c>
    </row>
    <row r="1382" spans="1:2" x14ac:dyDescent="0.25">
      <c r="A1382" s="1" t="s">
        <v>4039</v>
      </c>
      <c r="B1382" t="s">
        <v>1655</v>
      </c>
    </row>
    <row r="1383" spans="1:2" x14ac:dyDescent="0.25">
      <c r="A1383" s="1" t="s">
        <v>4040</v>
      </c>
      <c r="B1383" t="s">
        <v>1656</v>
      </c>
    </row>
    <row r="1384" spans="1:2" x14ac:dyDescent="0.25">
      <c r="A1384" s="1" t="s">
        <v>4041</v>
      </c>
      <c r="B1384" t="s">
        <v>1657</v>
      </c>
    </row>
    <row r="1385" spans="1:2" x14ac:dyDescent="0.25">
      <c r="A1385" s="1" t="s">
        <v>4042</v>
      </c>
      <c r="B1385" t="s">
        <v>1658</v>
      </c>
    </row>
    <row r="1386" spans="1:2" x14ac:dyDescent="0.25">
      <c r="A1386" s="1" t="s">
        <v>4043</v>
      </c>
      <c r="B1386" t="s">
        <v>1660</v>
      </c>
    </row>
    <row r="1387" spans="1:2" x14ac:dyDescent="0.25">
      <c r="A1387" s="1" t="s">
        <v>4044</v>
      </c>
      <c r="B1387" t="s">
        <v>1661</v>
      </c>
    </row>
    <row r="1388" spans="1:2" x14ac:dyDescent="0.25">
      <c r="A1388" s="1" t="s">
        <v>4045</v>
      </c>
      <c r="B1388" t="s">
        <v>1662</v>
      </c>
    </row>
    <row r="1389" spans="1:2" x14ac:dyDescent="0.25">
      <c r="A1389" s="1" t="s">
        <v>4046</v>
      </c>
      <c r="B1389" t="s">
        <v>1664</v>
      </c>
    </row>
    <row r="1390" spans="1:2" x14ac:dyDescent="0.25">
      <c r="A1390" s="1" t="s">
        <v>4047</v>
      </c>
      <c r="B1390" t="s">
        <v>1665</v>
      </c>
    </row>
    <row r="1391" spans="1:2" x14ac:dyDescent="0.25">
      <c r="A1391" s="1" t="s">
        <v>4048</v>
      </c>
      <c r="B1391" t="s">
        <v>1666</v>
      </c>
    </row>
    <row r="1392" spans="1:2" x14ac:dyDescent="0.25">
      <c r="A1392" s="1" t="s">
        <v>4049</v>
      </c>
      <c r="B1392" t="s">
        <v>1668</v>
      </c>
    </row>
    <row r="1393" spans="1:2" x14ac:dyDescent="0.25">
      <c r="A1393" s="1" t="s">
        <v>4050</v>
      </c>
      <c r="B1393" t="s">
        <v>1669</v>
      </c>
    </row>
    <row r="1394" spans="1:2" x14ac:dyDescent="0.25">
      <c r="A1394" s="1" t="s">
        <v>4051</v>
      </c>
      <c r="B1394" t="s">
        <v>1670</v>
      </c>
    </row>
    <row r="1395" spans="1:2" x14ac:dyDescent="0.25">
      <c r="A1395" s="1" t="s">
        <v>4052</v>
      </c>
      <c r="B1395" t="s">
        <v>1671</v>
      </c>
    </row>
    <row r="1396" spans="1:2" x14ac:dyDescent="0.25">
      <c r="A1396" s="1" t="s">
        <v>4053</v>
      </c>
      <c r="B1396" t="s">
        <v>1672</v>
      </c>
    </row>
    <row r="1397" spans="1:2" x14ac:dyDescent="0.25">
      <c r="A1397" s="1" t="s">
        <v>4054</v>
      </c>
      <c r="B1397" t="s">
        <v>1673</v>
      </c>
    </row>
    <row r="1398" spans="1:2" x14ac:dyDescent="0.25">
      <c r="A1398" s="1" t="s">
        <v>4055</v>
      </c>
      <c r="B1398" t="s">
        <v>1674</v>
      </c>
    </row>
    <row r="1399" spans="1:2" x14ac:dyDescent="0.25">
      <c r="A1399" s="1" t="s">
        <v>4056</v>
      </c>
      <c r="B1399" t="s">
        <v>1675</v>
      </c>
    </row>
    <row r="1400" spans="1:2" x14ac:dyDescent="0.25">
      <c r="A1400" s="1" t="s">
        <v>4057</v>
      </c>
      <c r="B1400" t="s">
        <v>1676</v>
      </c>
    </row>
    <row r="1401" spans="1:2" x14ac:dyDescent="0.25">
      <c r="A1401" s="1" t="s">
        <v>4058</v>
      </c>
      <c r="B1401" t="s">
        <v>1677</v>
      </c>
    </row>
    <row r="1402" spans="1:2" x14ac:dyDescent="0.25">
      <c r="A1402" s="1" t="s">
        <v>4059</v>
      </c>
      <c r="B1402" t="s">
        <v>1679</v>
      </c>
    </row>
    <row r="1403" spans="1:2" x14ac:dyDescent="0.25">
      <c r="A1403" s="1" t="s">
        <v>4060</v>
      </c>
      <c r="B1403" t="s">
        <v>1680</v>
      </c>
    </row>
    <row r="1404" spans="1:2" x14ac:dyDescent="0.25">
      <c r="A1404" s="1" t="s">
        <v>4061</v>
      </c>
      <c r="B1404" t="s">
        <v>1681</v>
      </c>
    </row>
    <row r="1405" spans="1:2" x14ac:dyDescent="0.25">
      <c r="A1405" s="1" t="s">
        <v>4062</v>
      </c>
      <c r="B1405" t="s">
        <v>1682</v>
      </c>
    </row>
    <row r="1406" spans="1:2" x14ac:dyDescent="0.25">
      <c r="A1406" s="1" t="s">
        <v>4063</v>
      </c>
      <c r="B1406" t="s">
        <v>1683</v>
      </c>
    </row>
    <row r="1407" spans="1:2" x14ac:dyDescent="0.25">
      <c r="A1407" s="1" t="s">
        <v>4064</v>
      </c>
      <c r="B1407" t="s">
        <v>1684</v>
      </c>
    </row>
    <row r="1408" spans="1:2" x14ac:dyDescent="0.25">
      <c r="A1408" s="1" t="s">
        <v>4065</v>
      </c>
      <c r="B1408" t="s">
        <v>1685</v>
      </c>
    </row>
    <row r="1409" spans="1:2" x14ac:dyDescent="0.25">
      <c r="A1409" s="1" t="s">
        <v>4066</v>
      </c>
      <c r="B1409" t="s">
        <v>1686</v>
      </c>
    </row>
    <row r="1410" spans="1:2" x14ac:dyDescent="0.25">
      <c r="A1410" s="1" t="s">
        <v>4067</v>
      </c>
      <c r="B1410" t="s">
        <v>1687</v>
      </c>
    </row>
    <row r="1411" spans="1:2" x14ac:dyDescent="0.25">
      <c r="A1411" s="1" t="s">
        <v>4068</v>
      </c>
      <c r="B1411" t="s">
        <v>1688</v>
      </c>
    </row>
    <row r="1412" spans="1:2" x14ac:dyDescent="0.25">
      <c r="A1412" s="1" t="s">
        <v>4069</v>
      </c>
      <c r="B1412" t="s">
        <v>1689</v>
      </c>
    </row>
    <row r="1413" spans="1:2" x14ac:dyDescent="0.25">
      <c r="A1413" s="1" t="s">
        <v>4070</v>
      </c>
      <c r="B1413" t="s">
        <v>1692</v>
      </c>
    </row>
    <row r="1414" spans="1:2" x14ac:dyDescent="0.25">
      <c r="A1414" s="1" t="s">
        <v>4071</v>
      </c>
      <c r="B1414" t="s">
        <v>1693</v>
      </c>
    </row>
    <row r="1415" spans="1:2" x14ac:dyDescent="0.25">
      <c r="A1415" s="1" t="s">
        <v>4072</v>
      </c>
      <c r="B1415" t="s">
        <v>1694</v>
      </c>
    </row>
    <row r="1416" spans="1:2" x14ac:dyDescent="0.25">
      <c r="A1416" s="1" t="s">
        <v>4073</v>
      </c>
      <c r="B1416" t="s">
        <v>1695</v>
      </c>
    </row>
    <row r="1417" spans="1:2" x14ac:dyDescent="0.25">
      <c r="A1417" s="1" t="s">
        <v>4074</v>
      </c>
      <c r="B1417" t="s">
        <v>1696</v>
      </c>
    </row>
    <row r="1418" spans="1:2" x14ac:dyDescent="0.25">
      <c r="A1418" s="1" t="s">
        <v>4075</v>
      </c>
      <c r="B1418" t="s">
        <v>1698</v>
      </c>
    </row>
    <row r="1419" spans="1:2" x14ac:dyDescent="0.25">
      <c r="A1419" s="1" t="s">
        <v>4076</v>
      </c>
      <c r="B1419" t="s">
        <v>1699</v>
      </c>
    </row>
    <row r="1420" spans="1:2" x14ac:dyDescent="0.25">
      <c r="A1420" s="1" t="s">
        <v>4077</v>
      </c>
      <c r="B1420" t="s">
        <v>1700</v>
      </c>
    </row>
    <row r="1421" spans="1:2" x14ac:dyDescent="0.25">
      <c r="A1421" s="1" t="s">
        <v>4078</v>
      </c>
      <c r="B1421" t="s">
        <v>1701</v>
      </c>
    </row>
    <row r="1422" spans="1:2" x14ac:dyDescent="0.25">
      <c r="A1422" s="1" t="s">
        <v>4079</v>
      </c>
      <c r="B1422" t="s">
        <v>1702</v>
      </c>
    </row>
    <row r="1423" spans="1:2" x14ac:dyDescent="0.25">
      <c r="A1423" s="1" t="s">
        <v>4080</v>
      </c>
      <c r="B1423" t="s">
        <v>1703</v>
      </c>
    </row>
    <row r="1424" spans="1:2" x14ac:dyDescent="0.25">
      <c r="A1424" s="1" t="s">
        <v>4081</v>
      </c>
      <c r="B1424" t="s">
        <v>1704</v>
      </c>
    </row>
    <row r="1425" spans="1:2" x14ac:dyDescent="0.25">
      <c r="A1425" s="1" t="s">
        <v>4082</v>
      </c>
      <c r="B1425" t="s">
        <v>1705</v>
      </c>
    </row>
    <row r="1426" spans="1:2" x14ac:dyDescent="0.25">
      <c r="A1426" s="1" t="s">
        <v>4083</v>
      </c>
      <c r="B1426" t="s">
        <v>1706</v>
      </c>
    </row>
    <row r="1427" spans="1:2" x14ac:dyDescent="0.25">
      <c r="A1427" s="1" t="s">
        <v>4084</v>
      </c>
      <c r="B1427" t="s">
        <v>1707</v>
      </c>
    </row>
    <row r="1428" spans="1:2" x14ac:dyDescent="0.25">
      <c r="A1428" s="1" t="s">
        <v>4085</v>
      </c>
      <c r="B1428" t="s">
        <v>1709</v>
      </c>
    </row>
    <row r="1429" spans="1:2" x14ac:dyDescent="0.25">
      <c r="A1429" s="1" t="s">
        <v>4086</v>
      </c>
      <c r="B1429" t="s">
        <v>1710</v>
      </c>
    </row>
    <row r="1430" spans="1:2" x14ac:dyDescent="0.25">
      <c r="A1430" s="1" t="s">
        <v>4087</v>
      </c>
      <c r="B1430" t="s">
        <v>1711</v>
      </c>
    </row>
    <row r="1431" spans="1:2" x14ac:dyDescent="0.25">
      <c r="A1431" s="1" t="s">
        <v>4088</v>
      </c>
      <c r="B1431" t="s">
        <v>1712</v>
      </c>
    </row>
    <row r="1432" spans="1:2" x14ac:dyDescent="0.25">
      <c r="A1432" s="1" t="s">
        <v>4089</v>
      </c>
      <c r="B1432" t="s">
        <v>1713</v>
      </c>
    </row>
    <row r="1433" spans="1:2" x14ac:dyDescent="0.25">
      <c r="A1433" s="1" t="s">
        <v>4090</v>
      </c>
      <c r="B1433" t="s">
        <v>1714</v>
      </c>
    </row>
    <row r="1434" spans="1:2" x14ac:dyDescent="0.25">
      <c r="A1434" s="1" t="s">
        <v>4091</v>
      </c>
      <c r="B1434" t="s">
        <v>1715</v>
      </c>
    </row>
    <row r="1435" spans="1:2" x14ac:dyDescent="0.25">
      <c r="A1435" s="1" t="s">
        <v>4092</v>
      </c>
      <c r="B1435" t="s">
        <v>1716</v>
      </c>
    </row>
    <row r="1436" spans="1:2" x14ac:dyDescent="0.25">
      <c r="A1436" s="1" t="s">
        <v>4093</v>
      </c>
      <c r="B1436" t="s">
        <v>1717</v>
      </c>
    </row>
    <row r="1437" spans="1:2" x14ac:dyDescent="0.25">
      <c r="A1437" s="1" t="s">
        <v>4094</v>
      </c>
      <c r="B1437" t="s">
        <v>1718</v>
      </c>
    </row>
    <row r="1438" spans="1:2" x14ac:dyDescent="0.25">
      <c r="A1438" s="1" t="s">
        <v>4095</v>
      </c>
      <c r="B1438" t="s">
        <v>1719</v>
      </c>
    </row>
    <row r="1439" spans="1:2" x14ac:dyDescent="0.25">
      <c r="A1439" s="1" t="s">
        <v>4096</v>
      </c>
      <c r="B1439" t="s">
        <v>1720</v>
      </c>
    </row>
    <row r="1440" spans="1:2" x14ac:dyDescent="0.25">
      <c r="A1440" s="1" t="s">
        <v>4097</v>
      </c>
      <c r="B1440" t="s">
        <v>1721</v>
      </c>
    </row>
    <row r="1441" spans="1:2" x14ac:dyDescent="0.25">
      <c r="A1441" s="1" t="s">
        <v>4098</v>
      </c>
      <c r="B1441" t="s">
        <v>1722</v>
      </c>
    </row>
    <row r="1442" spans="1:2" x14ac:dyDescent="0.25">
      <c r="A1442" s="1" t="s">
        <v>4099</v>
      </c>
      <c r="B1442" t="s">
        <v>1723</v>
      </c>
    </row>
    <row r="1443" spans="1:2" x14ac:dyDescent="0.25">
      <c r="A1443" s="1" t="s">
        <v>4100</v>
      </c>
      <c r="B1443" t="s">
        <v>1724</v>
      </c>
    </row>
    <row r="1444" spans="1:2" x14ac:dyDescent="0.25">
      <c r="A1444" s="1" t="s">
        <v>4101</v>
      </c>
      <c r="B1444" t="s">
        <v>1725</v>
      </c>
    </row>
    <row r="1445" spans="1:2" x14ac:dyDescent="0.25">
      <c r="A1445" s="1" t="s">
        <v>4102</v>
      </c>
      <c r="B1445" t="s">
        <v>1726</v>
      </c>
    </row>
    <row r="1446" spans="1:2" x14ac:dyDescent="0.25">
      <c r="A1446" s="1" t="s">
        <v>4103</v>
      </c>
      <c r="B1446" t="s">
        <v>1727</v>
      </c>
    </row>
    <row r="1447" spans="1:2" x14ac:dyDescent="0.25">
      <c r="A1447" s="1" t="s">
        <v>4104</v>
      </c>
      <c r="B1447" t="s">
        <v>1728</v>
      </c>
    </row>
    <row r="1448" spans="1:2" x14ac:dyDescent="0.25">
      <c r="A1448" s="1" t="s">
        <v>4105</v>
      </c>
      <c r="B1448" t="s">
        <v>1732</v>
      </c>
    </row>
    <row r="1449" spans="1:2" x14ac:dyDescent="0.25">
      <c r="A1449" s="1" t="s">
        <v>4106</v>
      </c>
      <c r="B1449" t="s">
        <v>1733</v>
      </c>
    </row>
    <row r="1450" spans="1:2" x14ac:dyDescent="0.25">
      <c r="A1450" s="1" t="s">
        <v>4107</v>
      </c>
      <c r="B1450" t="s">
        <v>1734</v>
      </c>
    </row>
    <row r="1451" spans="1:2" x14ac:dyDescent="0.25">
      <c r="A1451" s="1" t="s">
        <v>4108</v>
      </c>
      <c r="B1451" t="s">
        <v>1735</v>
      </c>
    </row>
    <row r="1452" spans="1:2" x14ac:dyDescent="0.25">
      <c r="A1452" s="1" t="s">
        <v>4109</v>
      </c>
      <c r="B1452" t="s">
        <v>1736</v>
      </c>
    </row>
    <row r="1453" spans="1:2" x14ac:dyDescent="0.25">
      <c r="A1453" s="1" t="s">
        <v>4110</v>
      </c>
      <c r="B1453" t="s">
        <v>1737</v>
      </c>
    </row>
    <row r="1454" spans="1:2" x14ac:dyDescent="0.25">
      <c r="A1454" s="1" t="s">
        <v>4111</v>
      </c>
      <c r="B1454" t="s">
        <v>1738</v>
      </c>
    </row>
    <row r="1455" spans="1:2" x14ac:dyDescent="0.25">
      <c r="A1455" s="1" t="s">
        <v>4112</v>
      </c>
      <c r="B1455" t="s">
        <v>1740</v>
      </c>
    </row>
    <row r="1456" spans="1:2" x14ac:dyDescent="0.25">
      <c r="A1456" s="1" t="s">
        <v>4113</v>
      </c>
      <c r="B1456" t="s">
        <v>1741</v>
      </c>
    </row>
    <row r="1457" spans="1:2" x14ac:dyDescent="0.25">
      <c r="A1457" s="1" t="s">
        <v>4114</v>
      </c>
      <c r="B1457" t="s">
        <v>1742</v>
      </c>
    </row>
    <row r="1458" spans="1:2" x14ac:dyDescent="0.25">
      <c r="A1458" s="1" t="s">
        <v>4115</v>
      </c>
      <c r="B1458" t="s">
        <v>1744</v>
      </c>
    </row>
    <row r="1459" spans="1:2" x14ac:dyDescent="0.25">
      <c r="A1459" s="1" t="s">
        <v>4116</v>
      </c>
      <c r="B1459" t="s">
        <v>1745</v>
      </c>
    </row>
    <row r="1460" spans="1:2" x14ac:dyDescent="0.25">
      <c r="A1460" s="1" t="s">
        <v>4117</v>
      </c>
      <c r="B1460" t="s">
        <v>1746</v>
      </c>
    </row>
    <row r="1461" spans="1:2" x14ac:dyDescent="0.25">
      <c r="A1461" s="1" t="s">
        <v>4118</v>
      </c>
      <c r="B1461" t="s">
        <v>1747</v>
      </c>
    </row>
    <row r="1462" spans="1:2" x14ac:dyDescent="0.25">
      <c r="A1462" s="1" t="s">
        <v>4119</v>
      </c>
      <c r="B1462" t="s">
        <v>1748</v>
      </c>
    </row>
    <row r="1463" spans="1:2" x14ac:dyDescent="0.25">
      <c r="A1463" s="1" t="s">
        <v>4120</v>
      </c>
      <c r="B1463" t="s">
        <v>1749</v>
      </c>
    </row>
    <row r="1464" spans="1:2" x14ac:dyDescent="0.25">
      <c r="A1464" s="1" t="s">
        <v>4121</v>
      </c>
      <c r="B1464" t="s">
        <v>1751</v>
      </c>
    </row>
    <row r="1465" spans="1:2" x14ac:dyDescent="0.25">
      <c r="A1465" s="1" t="s">
        <v>4122</v>
      </c>
      <c r="B1465" t="s">
        <v>1752</v>
      </c>
    </row>
    <row r="1466" spans="1:2" x14ac:dyDescent="0.25">
      <c r="A1466" s="1" t="s">
        <v>4123</v>
      </c>
      <c r="B1466" t="s">
        <v>1753</v>
      </c>
    </row>
    <row r="1467" spans="1:2" x14ac:dyDescent="0.25">
      <c r="A1467" s="1" t="s">
        <v>4124</v>
      </c>
      <c r="B1467" t="s">
        <v>1754</v>
      </c>
    </row>
    <row r="1468" spans="1:2" x14ac:dyDescent="0.25">
      <c r="A1468" s="1" t="s">
        <v>4125</v>
      </c>
      <c r="B1468" t="s">
        <v>1755</v>
      </c>
    </row>
    <row r="1469" spans="1:2" x14ac:dyDescent="0.25">
      <c r="A1469" s="1" t="s">
        <v>4126</v>
      </c>
      <c r="B1469" t="s">
        <v>1756</v>
      </c>
    </row>
    <row r="1470" spans="1:2" x14ac:dyDescent="0.25">
      <c r="A1470" s="1" t="s">
        <v>4127</v>
      </c>
      <c r="B1470" t="s">
        <v>1757</v>
      </c>
    </row>
    <row r="1471" spans="1:2" x14ac:dyDescent="0.25">
      <c r="A1471" s="1" t="s">
        <v>4128</v>
      </c>
      <c r="B1471" t="s">
        <v>1758</v>
      </c>
    </row>
    <row r="1472" spans="1:2" x14ac:dyDescent="0.25">
      <c r="A1472" s="1" t="s">
        <v>4129</v>
      </c>
      <c r="B1472" t="s">
        <v>1759</v>
      </c>
    </row>
    <row r="1473" spans="1:2" x14ac:dyDescent="0.25">
      <c r="A1473" s="1" t="s">
        <v>4130</v>
      </c>
      <c r="B1473" t="s">
        <v>1760</v>
      </c>
    </row>
    <row r="1474" spans="1:2" x14ac:dyDescent="0.25">
      <c r="A1474" s="1" t="s">
        <v>4131</v>
      </c>
      <c r="B1474" t="s">
        <v>1761</v>
      </c>
    </row>
    <row r="1475" spans="1:2" x14ac:dyDescent="0.25">
      <c r="A1475" s="1" t="s">
        <v>4132</v>
      </c>
      <c r="B1475" t="s">
        <v>1762</v>
      </c>
    </row>
    <row r="1476" spans="1:2" x14ac:dyDescent="0.25">
      <c r="A1476" s="1" t="s">
        <v>4133</v>
      </c>
      <c r="B1476" t="s">
        <v>1763</v>
      </c>
    </row>
    <row r="1477" spans="1:2" x14ac:dyDescent="0.25">
      <c r="A1477" s="1" t="s">
        <v>4134</v>
      </c>
      <c r="B1477" t="s">
        <v>1764</v>
      </c>
    </row>
    <row r="1478" spans="1:2" x14ac:dyDescent="0.25">
      <c r="A1478" s="1" t="s">
        <v>4135</v>
      </c>
      <c r="B1478" t="s">
        <v>1765</v>
      </c>
    </row>
    <row r="1479" spans="1:2" x14ac:dyDescent="0.25">
      <c r="A1479" s="1" t="s">
        <v>4136</v>
      </c>
      <c r="B1479" t="s">
        <v>1767</v>
      </c>
    </row>
    <row r="1480" spans="1:2" x14ac:dyDescent="0.25">
      <c r="A1480" s="1" t="s">
        <v>4137</v>
      </c>
      <c r="B1480" t="s">
        <v>1768</v>
      </c>
    </row>
    <row r="1481" spans="1:2" x14ac:dyDescent="0.25">
      <c r="A1481" s="1" t="s">
        <v>4138</v>
      </c>
      <c r="B1481" t="s">
        <v>1769</v>
      </c>
    </row>
    <row r="1482" spans="1:2" x14ac:dyDescent="0.25">
      <c r="A1482" s="1" t="s">
        <v>4139</v>
      </c>
      <c r="B1482" t="s">
        <v>1770</v>
      </c>
    </row>
    <row r="1483" spans="1:2" x14ac:dyDescent="0.25">
      <c r="A1483" s="1" t="s">
        <v>4140</v>
      </c>
      <c r="B1483" t="s">
        <v>1772</v>
      </c>
    </row>
    <row r="1484" spans="1:2" x14ac:dyDescent="0.25">
      <c r="A1484" s="1" t="s">
        <v>4141</v>
      </c>
      <c r="B1484" t="s">
        <v>1773</v>
      </c>
    </row>
    <row r="1485" spans="1:2" x14ac:dyDescent="0.25">
      <c r="A1485" s="1" t="s">
        <v>4142</v>
      </c>
      <c r="B1485" t="s">
        <v>1774</v>
      </c>
    </row>
    <row r="1486" spans="1:2" x14ac:dyDescent="0.25">
      <c r="A1486" s="1" t="s">
        <v>4143</v>
      </c>
      <c r="B1486" t="s">
        <v>1775</v>
      </c>
    </row>
    <row r="1487" spans="1:2" x14ac:dyDescent="0.25">
      <c r="A1487" s="1" t="s">
        <v>4144</v>
      </c>
      <c r="B1487" t="s">
        <v>1776</v>
      </c>
    </row>
    <row r="1488" spans="1:2" x14ac:dyDescent="0.25">
      <c r="A1488" s="1" t="s">
        <v>4145</v>
      </c>
      <c r="B1488" t="s">
        <v>1777</v>
      </c>
    </row>
    <row r="1489" spans="1:2" x14ac:dyDescent="0.25">
      <c r="A1489" s="1" t="s">
        <v>4146</v>
      </c>
      <c r="B1489" t="s">
        <v>1778</v>
      </c>
    </row>
    <row r="1490" spans="1:2" x14ac:dyDescent="0.25">
      <c r="A1490" s="1" t="s">
        <v>4147</v>
      </c>
      <c r="B1490" t="s">
        <v>1779</v>
      </c>
    </row>
    <row r="1491" spans="1:2" x14ac:dyDescent="0.25">
      <c r="A1491" s="1" t="s">
        <v>4148</v>
      </c>
      <c r="B1491" t="s">
        <v>1780</v>
      </c>
    </row>
    <row r="1492" spans="1:2" x14ac:dyDescent="0.25">
      <c r="A1492" s="1" t="s">
        <v>4149</v>
      </c>
      <c r="B1492" t="s">
        <v>1781</v>
      </c>
    </row>
    <row r="1493" spans="1:2" x14ac:dyDescent="0.25">
      <c r="A1493" s="1" t="s">
        <v>4150</v>
      </c>
      <c r="B1493" t="s">
        <v>1782</v>
      </c>
    </row>
    <row r="1494" spans="1:2" x14ac:dyDescent="0.25">
      <c r="A1494" s="1" t="s">
        <v>4151</v>
      </c>
      <c r="B1494" t="s">
        <v>1783</v>
      </c>
    </row>
    <row r="1495" spans="1:2" x14ac:dyDescent="0.25">
      <c r="A1495" s="1" t="s">
        <v>4152</v>
      </c>
      <c r="B1495" t="s">
        <v>1784</v>
      </c>
    </row>
    <row r="1496" spans="1:2" x14ac:dyDescent="0.25">
      <c r="A1496" s="1" t="s">
        <v>4153</v>
      </c>
      <c r="B1496" t="s">
        <v>1785</v>
      </c>
    </row>
    <row r="1497" spans="1:2" x14ac:dyDescent="0.25">
      <c r="A1497" s="1" t="s">
        <v>4154</v>
      </c>
      <c r="B1497" t="s">
        <v>1786</v>
      </c>
    </row>
    <row r="1498" spans="1:2" x14ac:dyDescent="0.25">
      <c r="A1498" s="1" t="s">
        <v>4155</v>
      </c>
      <c r="B1498" t="s">
        <v>1787</v>
      </c>
    </row>
    <row r="1499" spans="1:2" x14ac:dyDescent="0.25">
      <c r="A1499" s="1" t="s">
        <v>4156</v>
      </c>
      <c r="B1499" t="s">
        <v>1788</v>
      </c>
    </row>
    <row r="1500" spans="1:2" x14ac:dyDescent="0.25">
      <c r="A1500" s="1" t="s">
        <v>4157</v>
      </c>
      <c r="B1500" t="s">
        <v>1789</v>
      </c>
    </row>
    <row r="1501" spans="1:2" x14ac:dyDescent="0.25">
      <c r="A1501" s="1" t="s">
        <v>4158</v>
      </c>
      <c r="B1501" t="s">
        <v>1790</v>
      </c>
    </row>
    <row r="1502" spans="1:2" x14ac:dyDescent="0.25">
      <c r="A1502" s="1" t="s">
        <v>4159</v>
      </c>
      <c r="B1502" t="s">
        <v>1791</v>
      </c>
    </row>
    <row r="1503" spans="1:2" x14ac:dyDescent="0.25">
      <c r="A1503" s="1" t="s">
        <v>4160</v>
      </c>
      <c r="B1503" t="s">
        <v>1792</v>
      </c>
    </row>
    <row r="1504" spans="1:2" x14ac:dyDescent="0.25">
      <c r="A1504" s="1" t="s">
        <v>4161</v>
      </c>
      <c r="B1504" t="s">
        <v>1793</v>
      </c>
    </row>
    <row r="1505" spans="1:2" x14ac:dyDescent="0.25">
      <c r="A1505" s="1" t="s">
        <v>4162</v>
      </c>
      <c r="B1505" t="s">
        <v>1794</v>
      </c>
    </row>
    <row r="1506" spans="1:2" x14ac:dyDescent="0.25">
      <c r="A1506" s="1" t="s">
        <v>4163</v>
      </c>
      <c r="B1506" t="s">
        <v>1795</v>
      </c>
    </row>
    <row r="1507" spans="1:2" x14ac:dyDescent="0.25">
      <c r="A1507" s="1" t="s">
        <v>4164</v>
      </c>
      <c r="B1507" t="s">
        <v>1797</v>
      </c>
    </row>
    <row r="1508" spans="1:2" x14ac:dyDescent="0.25">
      <c r="A1508" s="1" t="s">
        <v>4165</v>
      </c>
      <c r="B1508" t="s">
        <v>1798</v>
      </c>
    </row>
    <row r="1509" spans="1:2" x14ac:dyDescent="0.25">
      <c r="A1509" s="1" t="s">
        <v>4166</v>
      </c>
      <c r="B1509" t="s">
        <v>1799</v>
      </c>
    </row>
    <row r="1510" spans="1:2" x14ac:dyDescent="0.25">
      <c r="A1510" s="1" t="s">
        <v>4167</v>
      </c>
      <c r="B1510" t="s">
        <v>1800</v>
      </c>
    </row>
    <row r="1511" spans="1:2" x14ac:dyDescent="0.25">
      <c r="A1511" s="1" t="s">
        <v>4168</v>
      </c>
      <c r="B1511" t="s">
        <v>1802</v>
      </c>
    </row>
    <row r="1512" spans="1:2" x14ac:dyDescent="0.25">
      <c r="A1512" s="1" t="s">
        <v>4169</v>
      </c>
      <c r="B1512" t="s">
        <v>1803</v>
      </c>
    </row>
    <row r="1513" spans="1:2" x14ac:dyDescent="0.25">
      <c r="A1513" s="1" t="s">
        <v>4170</v>
      </c>
      <c r="B1513" t="s">
        <v>1804</v>
      </c>
    </row>
    <row r="1514" spans="1:2" x14ac:dyDescent="0.25">
      <c r="A1514" s="1" t="s">
        <v>4171</v>
      </c>
      <c r="B1514" t="s">
        <v>1805</v>
      </c>
    </row>
    <row r="1515" spans="1:2" x14ac:dyDescent="0.25">
      <c r="A1515" s="1" t="s">
        <v>4172</v>
      </c>
      <c r="B1515" t="s">
        <v>1806</v>
      </c>
    </row>
    <row r="1516" spans="1:2" x14ac:dyDescent="0.25">
      <c r="A1516" s="1" t="s">
        <v>4173</v>
      </c>
      <c r="B1516" t="s">
        <v>1807</v>
      </c>
    </row>
    <row r="1517" spans="1:2" x14ac:dyDescent="0.25">
      <c r="A1517" s="1" t="s">
        <v>4174</v>
      </c>
      <c r="B1517" t="s">
        <v>1809</v>
      </c>
    </row>
    <row r="1518" spans="1:2" x14ac:dyDescent="0.25">
      <c r="A1518" s="1" t="s">
        <v>4175</v>
      </c>
      <c r="B1518" t="s">
        <v>1810</v>
      </c>
    </row>
    <row r="1519" spans="1:2" x14ac:dyDescent="0.25">
      <c r="A1519" s="1" t="s">
        <v>4176</v>
      </c>
      <c r="B1519" t="s">
        <v>1811</v>
      </c>
    </row>
    <row r="1520" spans="1:2" x14ac:dyDescent="0.25">
      <c r="A1520" s="1" t="s">
        <v>4177</v>
      </c>
      <c r="B1520" t="s">
        <v>1812</v>
      </c>
    </row>
    <row r="1521" spans="1:2" x14ac:dyDescent="0.25">
      <c r="A1521" s="1" t="s">
        <v>4178</v>
      </c>
      <c r="B1521" t="s">
        <v>42</v>
      </c>
    </row>
    <row r="1522" spans="1:2" x14ac:dyDescent="0.25">
      <c r="A1522" s="1" t="s">
        <v>4179</v>
      </c>
      <c r="B1522" t="s">
        <v>1813</v>
      </c>
    </row>
    <row r="1523" spans="1:2" x14ac:dyDescent="0.25">
      <c r="A1523" s="1" t="s">
        <v>4180</v>
      </c>
      <c r="B1523" t="s">
        <v>1815</v>
      </c>
    </row>
    <row r="1524" spans="1:2" x14ac:dyDescent="0.25">
      <c r="A1524" s="1" t="s">
        <v>4181</v>
      </c>
      <c r="B1524" t="s">
        <v>1816</v>
      </c>
    </row>
    <row r="1525" spans="1:2" x14ac:dyDescent="0.25">
      <c r="A1525" s="1" t="s">
        <v>4182</v>
      </c>
      <c r="B1525" t="s">
        <v>1817</v>
      </c>
    </row>
    <row r="1526" spans="1:2" x14ac:dyDescent="0.25">
      <c r="A1526" s="1" t="s">
        <v>4183</v>
      </c>
      <c r="B1526" t="s">
        <v>1818</v>
      </c>
    </row>
    <row r="1527" spans="1:2" x14ac:dyDescent="0.25">
      <c r="A1527" s="1" t="s">
        <v>4184</v>
      </c>
      <c r="B1527" t="s">
        <v>1819</v>
      </c>
    </row>
    <row r="1528" spans="1:2" x14ac:dyDescent="0.25">
      <c r="A1528" s="1" t="s">
        <v>4185</v>
      </c>
      <c r="B1528" t="s">
        <v>1820</v>
      </c>
    </row>
    <row r="1529" spans="1:2" x14ac:dyDescent="0.25">
      <c r="A1529" s="1" t="s">
        <v>4186</v>
      </c>
      <c r="B1529" t="s">
        <v>1821</v>
      </c>
    </row>
    <row r="1530" spans="1:2" x14ac:dyDescent="0.25">
      <c r="A1530" s="1" t="s">
        <v>4187</v>
      </c>
      <c r="B1530" t="s">
        <v>1822</v>
      </c>
    </row>
    <row r="1531" spans="1:2" x14ac:dyDescent="0.25">
      <c r="A1531" s="1" t="s">
        <v>4188</v>
      </c>
      <c r="B1531" t="s">
        <v>1823</v>
      </c>
    </row>
    <row r="1532" spans="1:2" x14ac:dyDescent="0.25">
      <c r="A1532" s="1" t="s">
        <v>4189</v>
      </c>
      <c r="B1532" t="s">
        <v>1824</v>
      </c>
    </row>
    <row r="1533" spans="1:2" x14ac:dyDescent="0.25">
      <c r="A1533" s="1" t="s">
        <v>4190</v>
      </c>
      <c r="B1533" t="s">
        <v>1825</v>
      </c>
    </row>
    <row r="1534" spans="1:2" x14ac:dyDescent="0.25">
      <c r="A1534" s="1" t="s">
        <v>4191</v>
      </c>
      <c r="B1534" t="s">
        <v>1827</v>
      </c>
    </row>
    <row r="1535" spans="1:2" x14ac:dyDescent="0.25">
      <c r="A1535" s="1" t="s">
        <v>4192</v>
      </c>
      <c r="B1535" t="s">
        <v>1828</v>
      </c>
    </row>
    <row r="1536" spans="1:2" x14ac:dyDescent="0.25">
      <c r="A1536" s="1" t="s">
        <v>4193</v>
      </c>
      <c r="B1536" t="s">
        <v>1829</v>
      </c>
    </row>
    <row r="1537" spans="1:2" x14ac:dyDescent="0.25">
      <c r="A1537" s="1" t="s">
        <v>4194</v>
      </c>
      <c r="B1537" t="s">
        <v>1830</v>
      </c>
    </row>
    <row r="1538" spans="1:2" x14ac:dyDescent="0.25">
      <c r="A1538" s="1" t="s">
        <v>4195</v>
      </c>
      <c r="B1538" t="s">
        <v>1831</v>
      </c>
    </row>
    <row r="1539" spans="1:2" x14ac:dyDescent="0.25">
      <c r="A1539" s="1" t="s">
        <v>4196</v>
      </c>
      <c r="B1539" t="s">
        <v>1832</v>
      </c>
    </row>
    <row r="1540" spans="1:2" x14ac:dyDescent="0.25">
      <c r="A1540" s="1" t="s">
        <v>4197</v>
      </c>
      <c r="B1540" t="s">
        <v>1833</v>
      </c>
    </row>
    <row r="1541" spans="1:2" x14ac:dyDescent="0.25">
      <c r="A1541" s="1" t="s">
        <v>4198</v>
      </c>
      <c r="B1541" t="s">
        <v>1835</v>
      </c>
    </row>
    <row r="1542" spans="1:2" x14ac:dyDescent="0.25">
      <c r="A1542" s="1" t="s">
        <v>4199</v>
      </c>
      <c r="B1542" t="s">
        <v>1836</v>
      </c>
    </row>
    <row r="1543" spans="1:2" x14ac:dyDescent="0.25">
      <c r="A1543" s="1" t="s">
        <v>4200</v>
      </c>
      <c r="B1543" t="s">
        <v>1837</v>
      </c>
    </row>
    <row r="1544" spans="1:2" x14ac:dyDescent="0.25">
      <c r="A1544" s="1" t="s">
        <v>4201</v>
      </c>
      <c r="B1544" t="s">
        <v>1838</v>
      </c>
    </row>
    <row r="1545" spans="1:2" x14ac:dyDescent="0.25">
      <c r="A1545" s="1" t="s">
        <v>4202</v>
      </c>
      <c r="B1545" t="s">
        <v>1839</v>
      </c>
    </row>
    <row r="1546" spans="1:2" x14ac:dyDescent="0.25">
      <c r="A1546" s="1" t="s">
        <v>4203</v>
      </c>
      <c r="B1546" t="s">
        <v>42</v>
      </c>
    </row>
    <row r="1547" spans="1:2" x14ac:dyDescent="0.25">
      <c r="A1547" s="1" t="s">
        <v>4204</v>
      </c>
      <c r="B1547" t="s">
        <v>1840</v>
      </c>
    </row>
    <row r="1548" spans="1:2" x14ac:dyDescent="0.25">
      <c r="A1548" s="1" t="s">
        <v>4205</v>
      </c>
      <c r="B1548" t="s">
        <v>1842</v>
      </c>
    </row>
    <row r="1549" spans="1:2" x14ac:dyDescent="0.25">
      <c r="A1549" s="1" t="s">
        <v>4206</v>
      </c>
      <c r="B1549" t="s">
        <v>1843</v>
      </c>
    </row>
    <row r="1550" spans="1:2" x14ac:dyDescent="0.25">
      <c r="A1550" s="1" t="s">
        <v>4207</v>
      </c>
      <c r="B1550" t="s">
        <v>1844</v>
      </c>
    </row>
    <row r="1551" spans="1:2" x14ac:dyDescent="0.25">
      <c r="A1551" s="1" t="s">
        <v>4208</v>
      </c>
      <c r="B1551" t="s">
        <v>1845</v>
      </c>
    </row>
    <row r="1552" spans="1:2" x14ac:dyDescent="0.25">
      <c r="A1552" s="1" t="s">
        <v>4209</v>
      </c>
      <c r="B1552" t="s">
        <v>1846</v>
      </c>
    </row>
    <row r="1553" spans="1:2" x14ac:dyDescent="0.25">
      <c r="A1553" s="1" t="s">
        <v>4210</v>
      </c>
      <c r="B1553" t="s">
        <v>1847</v>
      </c>
    </row>
    <row r="1554" spans="1:2" x14ac:dyDescent="0.25">
      <c r="A1554" s="1" t="s">
        <v>4211</v>
      </c>
      <c r="B1554" t="s">
        <v>1848</v>
      </c>
    </row>
    <row r="1555" spans="1:2" x14ac:dyDescent="0.25">
      <c r="A1555" s="1" t="s">
        <v>4212</v>
      </c>
      <c r="B1555" t="s">
        <v>1849</v>
      </c>
    </row>
    <row r="1556" spans="1:2" x14ac:dyDescent="0.25">
      <c r="A1556" s="1" t="s">
        <v>4213</v>
      </c>
      <c r="B1556" t="s">
        <v>1850</v>
      </c>
    </row>
    <row r="1557" spans="1:2" x14ac:dyDescent="0.25">
      <c r="A1557" s="1" t="s">
        <v>4214</v>
      </c>
      <c r="B1557" t="s">
        <v>1851</v>
      </c>
    </row>
    <row r="1558" spans="1:2" x14ac:dyDescent="0.25">
      <c r="A1558" s="1" t="s">
        <v>4215</v>
      </c>
      <c r="B1558" t="s">
        <v>1852</v>
      </c>
    </row>
    <row r="1559" spans="1:2" x14ac:dyDescent="0.25">
      <c r="A1559" s="1" t="s">
        <v>4216</v>
      </c>
      <c r="B1559" t="s">
        <v>1853</v>
      </c>
    </row>
    <row r="1560" spans="1:2" x14ac:dyDescent="0.25">
      <c r="A1560" s="1" t="s">
        <v>4217</v>
      </c>
      <c r="B1560" t="s">
        <v>1854</v>
      </c>
    </row>
    <row r="1561" spans="1:2" x14ac:dyDescent="0.25">
      <c r="A1561" s="1" t="s">
        <v>4218</v>
      </c>
      <c r="B1561" t="s">
        <v>1856</v>
      </c>
    </row>
    <row r="1562" spans="1:2" x14ac:dyDescent="0.25">
      <c r="A1562" s="1" t="s">
        <v>4219</v>
      </c>
      <c r="B1562" t="s">
        <v>1857</v>
      </c>
    </row>
    <row r="1563" spans="1:2" x14ac:dyDescent="0.25">
      <c r="A1563" s="1" t="s">
        <v>4220</v>
      </c>
      <c r="B1563" t="s">
        <v>1858</v>
      </c>
    </row>
    <row r="1564" spans="1:2" x14ac:dyDescent="0.25">
      <c r="A1564" s="1" t="s">
        <v>4221</v>
      </c>
      <c r="B1564" t="s">
        <v>1859</v>
      </c>
    </row>
    <row r="1565" spans="1:2" x14ac:dyDescent="0.25">
      <c r="A1565" s="1" t="s">
        <v>4222</v>
      </c>
      <c r="B1565" t="s">
        <v>1860</v>
      </c>
    </row>
    <row r="1566" spans="1:2" x14ac:dyDescent="0.25">
      <c r="A1566" s="1" t="s">
        <v>4223</v>
      </c>
      <c r="B1566" t="s">
        <v>1861</v>
      </c>
    </row>
    <row r="1567" spans="1:2" x14ac:dyDescent="0.25">
      <c r="A1567" s="1" t="s">
        <v>4224</v>
      </c>
      <c r="B1567" t="s">
        <v>1862</v>
      </c>
    </row>
    <row r="1568" spans="1:2" x14ac:dyDescent="0.25">
      <c r="A1568" s="1" t="s">
        <v>4225</v>
      </c>
      <c r="B1568" t="s">
        <v>1863</v>
      </c>
    </row>
    <row r="1569" spans="1:2" x14ac:dyDescent="0.25">
      <c r="A1569" s="1" t="s">
        <v>4226</v>
      </c>
      <c r="B1569" t="s">
        <v>1864</v>
      </c>
    </row>
    <row r="1570" spans="1:2" x14ac:dyDescent="0.25">
      <c r="A1570" s="1" t="s">
        <v>4227</v>
      </c>
      <c r="B1570" t="s">
        <v>1865</v>
      </c>
    </row>
    <row r="1571" spans="1:2" x14ac:dyDescent="0.25">
      <c r="A1571" s="1" t="s">
        <v>4228</v>
      </c>
      <c r="B1571" t="s">
        <v>1866</v>
      </c>
    </row>
    <row r="1572" spans="1:2" x14ac:dyDescent="0.25">
      <c r="A1572" s="1" t="s">
        <v>4229</v>
      </c>
      <c r="B1572" t="s">
        <v>1867</v>
      </c>
    </row>
    <row r="1573" spans="1:2" x14ac:dyDescent="0.25">
      <c r="A1573" s="1" t="s">
        <v>4230</v>
      </c>
      <c r="B1573" t="s">
        <v>1868</v>
      </c>
    </row>
    <row r="1574" spans="1:2" x14ac:dyDescent="0.25">
      <c r="A1574" s="1" t="s">
        <v>4231</v>
      </c>
      <c r="B1574" t="s">
        <v>1900</v>
      </c>
    </row>
    <row r="1575" spans="1:2" x14ac:dyDescent="0.25">
      <c r="A1575" s="1" t="s">
        <v>4232</v>
      </c>
      <c r="B1575" t="s">
        <v>1915</v>
      </c>
    </row>
    <row r="1576" spans="1:2" x14ac:dyDescent="0.25">
      <c r="A1576" s="1" t="s">
        <v>4233</v>
      </c>
      <c r="B1576" t="s">
        <v>1869</v>
      </c>
    </row>
    <row r="1577" spans="1:2" x14ac:dyDescent="0.25">
      <c r="A1577" s="1" t="s">
        <v>4234</v>
      </c>
      <c r="B1577" t="s">
        <v>1872</v>
      </c>
    </row>
    <row r="1578" spans="1:2" x14ac:dyDescent="0.25">
      <c r="A1578" s="1" t="s">
        <v>4235</v>
      </c>
      <c r="B1578" t="s">
        <v>1873</v>
      </c>
    </row>
    <row r="1579" spans="1:2" x14ac:dyDescent="0.25">
      <c r="A1579" s="1" t="s">
        <v>4236</v>
      </c>
      <c r="B1579" t="s">
        <v>1874</v>
      </c>
    </row>
    <row r="1580" spans="1:2" x14ac:dyDescent="0.25">
      <c r="A1580" s="1" t="s">
        <v>4237</v>
      </c>
      <c r="B1580" t="s">
        <v>1875</v>
      </c>
    </row>
    <row r="1581" spans="1:2" x14ac:dyDescent="0.25">
      <c r="A1581" s="1" t="s">
        <v>4238</v>
      </c>
      <c r="B1581" t="s">
        <v>1876</v>
      </c>
    </row>
    <row r="1582" spans="1:2" x14ac:dyDescent="0.25">
      <c r="A1582" s="1" t="s">
        <v>4239</v>
      </c>
      <c r="B1582" t="s">
        <v>1877</v>
      </c>
    </row>
    <row r="1583" spans="1:2" x14ac:dyDescent="0.25">
      <c r="A1583" s="1" t="s">
        <v>4240</v>
      </c>
      <c r="B1583" t="s">
        <v>1879</v>
      </c>
    </row>
    <row r="1584" spans="1:2" x14ac:dyDescent="0.25">
      <c r="A1584" s="1" t="s">
        <v>4241</v>
      </c>
      <c r="B1584" t="s">
        <v>1880</v>
      </c>
    </row>
    <row r="1585" spans="1:2" x14ac:dyDescent="0.25">
      <c r="A1585" s="1" t="s">
        <v>4242</v>
      </c>
      <c r="B1585" t="s">
        <v>1881</v>
      </c>
    </row>
    <row r="1586" spans="1:2" x14ac:dyDescent="0.25">
      <c r="A1586" s="1" t="s">
        <v>4243</v>
      </c>
      <c r="B1586" t="s">
        <v>1882</v>
      </c>
    </row>
    <row r="1587" spans="1:2" x14ac:dyDescent="0.25">
      <c r="A1587" s="1" t="s">
        <v>4244</v>
      </c>
      <c r="B1587" t="s">
        <v>1883</v>
      </c>
    </row>
    <row r="1588" spans="1:2" x14ac:dyDescent="0.25">
      <c r="A1588" s="1" t="s">
        <v>4245</v>
      </c>
      <c r="B1588" t="s">
        <v>1884</v>
      </c>
    </row>
    <row r="1589" spans="1:2" x14ac:dyDescent="0.25">
      <c r="A1589" s="1" t="s">
        <v>4246</v>
      </c>
      <c r="B1589" t="s">
        <v>1885</v>
      </c>
    </row>
    <row r="1590" spans="1:2" x14ac:dyDescent="0.25">
      <c r="A1590" s="1" t="s">
        <v>4247</v>
      </c>
      <c r="B1590" t="s">
        <v>1886</v>
      </c>
    </row>
    <row r="1591" spans="1:2" x14ac:dyDescent="0.25">
      <c r="A1591" s="1" t="s">
        <v>4248</v>
      </c>
      <c r="B1591" t="s">
        <v>1887</v>
      </c>
    </row>
    <row r="1592" spans="1:2" x14ac:dyDescent="0.25">
      <c r="A1592" s="1" t="s">
        <v>4249</v>
      </c>
      <c r="B1592" t="s">
        <v>1888</v>
      </c>
    </row>
    <row r="1593" spans="1:2" x14ac:dyDescent="0.25">
      <c r="A1593" s="1" t="s">
        <v>4250</v>
      </c>
      <c r="B1593" t="s">
        <v>1889</v>
      </c>
    </row>
    <row r="1594" spans="1:2" x14ac:dyDescent="0.25">
      <c r="A1594" s="1" t="s">
        <v>4251</v>
      </c>
      <c r="B1594" t="s">
        <v>1890</v>
      </c>
    </row>
    <row r="1595" spans="1:2" x14ac:dyDescent="0.25">
      <c r="A1595" s="1" t="s">
        <v>4252</v>
      </c>
      <c r="B1595" t="s">
        <v>1891</v>
      </c>
    </row>
    <row r="1596" spans="1:2" x14ac:dyDescent="0.25">
      <c r="A1596" s="1" t="s">
        <v>4253</v>
      </c>
      <c r="B1596" t="s">
        <v>42</v>
      </c>
    </row>
    <row r="1597" spans="1:2" x14ac:dyDescent="0.25">
      <c r="A1597" s="1" t="s">
        <v>4254</v>
      </c>
      <c r="B1597" t="s">
        <v>1892</v>
      </c>
    </row>
    <row r="1598" spans="1:2" x14ac:dyDescent="0.25">
      <c r="A1598" s="1" t="s">
        <v>4255</v>
      </c>
      <c r="B1598" t="s">
        <v>1893</v>
      </c>
    </row>
    <row r="1599" spans="1:2" x14ac:dyDescent="0.25">
      <c r="A1599" s="1" t="s">
        <v>4256</v>
      </c>
      <c r="B1599" t="s">
        <v>1895</v>
      </c>
    </row>
    <row r="1600" spans="1:2" x14ac:dyDescent="0.25">
      <c r="A1600" s="1" t="s">
        <v>4257</v>
      </c>
      <c r="B1600" t="s">
        <v>1896</v>
      </c>
    </row>
    <row r="1601" spans="1:2" x14ac:dyDescent="0.25">
      <c r="A1601" s="1" t="s">
        <v>4258</v>
      </c>
      <c r="B1601" t="s">
        <v>1897</v>
      </c>
    </row>
    <row r="1602" spans="1:2" x14ac:dyDescent="0.25">
      <c r="A1602" s="1" t="s">
        <v>4259</v>
      </c>
      <c r="B1602" t="s">
        <v>1898</v>
      </c>
    </row>
    <row r="1603" spans="1:2" x14ac:dyDescent="0.25">
      <c r="A1603" s="1" t="s">
        <v>4260</v>
      </c>
      <c r="B1603" t="s">
        <v>1899</v>
      </c>
    </row>
    <row r="1604" spans="1:2" x14ac:dyDescent="0.25">
      <c r="A1604" s="1" t="s">
        <v>4261</v>
      </c>
      <c r="B1604" t="s">
        <v>1900</v>
      </c>
    </row>
    <row r="1605" spans="1:2" x14ac:dyDescent="0.25">
      <c r="A1605" s="1" t="s">
        <v>4262</v>
      </c>
      <c r="B1605" t="s">
        <v>1903</v>
      </c>
    </row>
    <row r="1606" spans="1:2" x14ac:dyDescent="0.25">
      <c r="A1606" s="1" t="s">
        <v>4263</v>
      </c>
      <c r="B1606" t="s">
        <v>1904</v>
      </c>
    </row>
    <row r="1607" spans="1:2" x14ac:dyDescent="0.25">
      <c r="A1607" s="1" t="s">
        <v>4264</v>
      </c>
      <c r="B1607" t="s">
        <v>1905</v>
      </c>
    </row>
    <row r="1608" spans="1:2" x14ac:dyDescent="0.25">
      <c r="A1608" s="1" t="s">
        <v>4265</v>
      </c>
      <c r="B1608" t="s">
        <v>1906</v>
      </c>
    </row>
    <row r="1609" spans="1:2" x14ac:dyDescent="0.25">
      <c r="A1609" s="1" t="s">
        <v>4266</v>
      </c>
      <c r="B1609" t="s">
        <v>1907</v>
      </c>
    </row>
    <row r="1610" spans="1:2" x14ac:dyDescent="0.25">
      <c r="A1610" s="1" t="s">
        <v>4267</v>
      </c>
      <c r="B1610" t="s">
        <v>1908</v>
      </c>
    </row>
    <row r="1611" spans="1:2" x14ac:dyDescent="0.25">
      <c r="A1611" s="1" t="s">
        <v>4268</v>
      </c>
      <c r="B1611" t="s">
        <v>1909</v>
      </c>
    </row>
    <row r="1612" spans="1:2" x14ac:dyDescent="0.25">
      <c r="A1612" s="1" t="s">
        <v>4269</v>
      </c>
      <c r="B1612" t="s">
        <v>1910</v>
      </c>
    </row>
    <row r="1613" spans="1:2" x14ac:dyDescent="0.25">
      <c r="A1613" s="1" t="s">
        <v>4270</v>
      </c>
      <c r="B1613" t="s">
        <v>1911</v>
      </c>
    </row>
    <row r="1614" spans="1:2" x14ac:dyDescent="0.25">
      <c r="A1614" s="1" t="s">
        <v>4271</v>
      </c>
      <c r="B1614" t="s">
        <v>1912</v>
      </c>
    </row>
    <row r="1615" spans="1:2" x14ac:dyDescent="0.25">
      <c r="A1615" s="1" t="s">
        <v>4272</v>
      </c>
      <c r="B1615" t="s">
        <v>1913</v>
      </c>
    </row>
    <row r="1616" spans="1:2" x14ac:dyDescent="0.25">
      <c r="A1616" s="1" t="s">
        <v>4273</v>
      </c>
      <c r="B1616" t="s">
        <v>1914</v>
      </c>
    </row>
    <row r="1617" spans="1:2" x14ac:dyDescent="0.25">
      <c r="A1617" s="1" t="s">
        <v>4274</v>
      </c>
      <c r="B1617" t="s">
        <v>1915</v>
      </c>
    </row>
    <row r="1618" spans="1:2" x14ac:dyDescent="0.25">
      <c r="A1618" s="1" t="s">
        <v>4275</v>
      </c>
      <c r="B1618" t="s">
        <v>1918</v>
      </c>
    </row>
    <row r="1619" spans="1:2" x14ac:dyDescent="0.25">
      <c r="A1619" s="1" t="s">
        <v>4276</v>
      </c>
      <c r="B1619" t="s">
        <v>1919</v>
      </c>
    </row>
    <row r="1620" spans="1:2" x14ac:dyDescent="0.25">
      <c r="A1620" s="1" t="s">
        <v>4277</v>
      </c>
      <c r="B1620" t="s">
        <v>1920</v>
      </c>
    </row>
    <row r="1621" spans="1:2" x14ac:dyDescent="0.25">
      <c r="A1621" s="1" t="s">
        <v>4278</v>
      </c>
      <c r="B1621" t="s">
        <v>1921</v>
      </c>
    </row>
    <row r="1622" spans="1:2" x14ac:dyDescent="0.25">
      <c r="A1622" s="1" t="s">
        <v>4279</v>
      </c>
      <c r="B1622" t="s">
        <v>1922</v>
      </c>
    </row>
    <row r="1623" spans="1:2" x14ac:dyDescent="0.25">
      <c r="A1623" s="1" t="s">
        <v>4280</v>
      </c>
      <c r="B1623" t="s">
        <v>1923</v>
      </c>
    </row>
    <row r="1624" spans="1:2" x14ac:dyDescent="0.25">
      <c r="A1624" s="1" t="s">
        <v>4281</v>
      </c>
      <c r="B1624" t="s">
        <v>1924</v>
      </c>
    </row>
    <row r="1625" spans="1:2" x14ac:dyDescent="0.25">
      <c r="A1625" s="1" t="s">
        <v>4282</v>
      </c>
      <c r="B1625" t="s">
        <v>1925</v>
      </c>
    </row>
    <row r="1626" spans="1:2" x14ac:dyDescent="0.25">
      <c r="A1626" s="1" t="s">
        <v>4283</v>
      </c>
      <c r="B1626" t="s">
        <v>1926</v>
      </c>
    </row>
    <row r="1627" spans="1:2" x14ac:dyDescent="0.25">
      <c r="A1627" s="1" t="s">
        <v>4284</v>
      </c>
      <c r="B1627" t="s">
        <v>1927</v>
      </c>
    </row>
    <row r="1628" spans="1:2" x14ac:dyDescent="0.25">
      <c r="A1628" s="1" t="s">
        <v>4285</v>
      </c>
      <c r="B1628" t="s">
        <v>1928</v>
      </c>
    </row>
    <row r="1629" spans="1:2" x14ac:dyDescent="0.25">
      <c r="A1629" s="1" t="s">
        <v>4286</v>
      </c>
      <c r="B1629" t="s">
        <v>1929</v>
      </c>
    </row>
    <row r="1630" spans="1:2" x14ac:dyDescent="0.25">
      <c r="A1630" s="1" t="s">
        <v>4287</v>
      </c>
      <c r="B1630" t="s">
        <v>42</v>
      </c>
    </row>
    <row r="1631" spans="1:2" x14ac:dyDescent="0.25">
      <c r="A1631" s="1" t="s">
        <v>4288</v>
      </c>
      <c r="B1631" t="s">
        <v>1930</v>
      </c>
    </row>
    <row r="1632" spans="1:2" x14ac:dyDescent="0.25">
      <c r="A1632" s="1" t="s">
        <v>4289</v>
      </c>
      <c r="B1632" t="s">
        <v>1932</v>
      </c>
    </row>
    <row r="1633" spans="1:2" x14ac:dyDescent="0.25">
      <c r="A1633" s="1" t="s">
        <v>4290</v>
      </c>
      <c r="B1633" t="s">
        <v>1933</v>
      </c>
    </row>
    <row r="1634" spans="1:2" x14ac:dyDescent="0.25">
      <c r="A1634" s="1" t="s">
        <v>4291</v>
      </c>
      <c r="B1634" t="s">
        <v>1934</v>
      </c>
    </row>
    <row r="1635" spans="1:2" x14ac:dyDescent="0.25">
      <c r="A1635" s="1" t="s">
        <v>4292</v>
      </c>
      <c r="B1635" t="s">
        <v>1935</v>
      </c>
    </row>
    <row r="1636" spans="1:2" x14ac:dyDescent="0.25">
      <c r="A1636" s="1" t="s">
        <v>4293</v>
      </c>
      <c r="B1636" t="s">
        <v>1936</v>
      </c>
    </row>
    <row r="1637" spans="1:2" x14ac:dyDescent="0.25">
      <c r="A1637" s="1" t="s">
        <v>4294</v>
      </c>
      <c r="B1637" t="s">
        <v>1937</v>
      </c>
    </row>
    <row r="1638" spans="1:2" x14ac:dyDescent="0.25">
      <c r="A1638" s="1" t="s">
        <v>4295</v>
      </c>
      <c r="B1638" t="s">
        <v>1938</v>
      </c>
    </row>
    <row r="1639" spans="1:2" x14ac:dyDescent="0.25">
      <c r="A1639" s="1" t="s">
        <v>4296</v>
      </c>
      <c r="B1639" t="s">
        <v>1939</v>
      </c>
    </row>
    <row r="1640" spans="1:2" x14ac:dyDescent="0.25">
      <c r="A1640" s="1" t="s">
        <v>4297</v>
      </c>
      <c r="B1640" t="s">
        <v>1940</v>
      </c>
    </row>
    <row r="1641" spans="1:2" x14ac:dyDescent="0.25">
      <c r="A1641" s="1" t="s">
        <v>4298</v>
      </c>
      <c r="B1641" t="s">
        <v>1941</v>
      </c>
    </row>
    <row r="1642" spans="1:2" x14ac:dyDescent="0.25">
      <c r="A1642" s="1" t="s">
        <v>4299</v>
      </c>
      <c r="B1642" t="s">
        <v>1942</v>
      </c>
    </row>
    <row r="1643" spans="1:2" x14ac:dyDescent="0.25">
      <c r="A1643" s="1" t="s">
        <v>4300</v>
      </c>
      <c r="B1643" t="s">
        <v>1943</v>
      </c>
    </row>
    <row r="1644" spans="1:2" x14ac:dyDescent="0.25">
      <c r="A1644" s="1" t="s">
        <v>4301</v>
      </c>
      <c r="B1644" t="s">
        <v>1944</v>
      </c>
    </row>
    <row r="1645" spans="1:2" x14ac:dyDescent="0.25">
      <c r="A1645" s="1" t="s">
        <v>4302</v>
      </c>
      <c r="B1645" t="s">
        <v>1945</v>
      </c>
    </row>
    <row r="1646" spans="1:2" x14ac:dyDescent="0.25">
      <c r="A1646" s="1" t="s">
        <v>4303</v>
      </c>
      <c r="B1646" t="s">
        <v>1946</v>
      </c>
    </row>
    <row r="1647" spans="1:2" x14ac:dyDescent="0.25">
      <c r="A1647" s="1" t="s">
        <v>4304</v>
      </c>
      <c r="B1647" t="s">
        <v>1947</v>
      </c>
    </row>
    <row r="1648" spans="1:2" x14ac:dyDescent="0.25">
      <c r="A1648" s="1" t="s">
        <v>4305</v>
      </c>
      <c r="B1648" t="s">
        <v>1948</v>
      </c>
    </row>
    <row r="1649" spans="1:2" x14ac:dyDescent="0.25">
      <c r="A1649" s="1" t="s">
        <v>4306</v>
      </c>
      <c r="B1649" t="s">
        <v>1949</v>
      </c>
    </row>
    <row r="1650" spans="1:2" x14ac:dyDescent="0.25">
      <c r="A1650" s="1" t="s">
        <v>4307</v>
      </c>
      <c r="B1650" t="s">
        <v>1951</v>
      </c>
    </row>
    <row r="1651" spans="1:2" x14ac:dyDescent="0.25">
      <c r="A1651" s="1" t="s">
        <v>4308</v>
      </c>
      <c r="B1651" t="s">
        <v>1952</v>
      </c>
    </row>
    <row r="1652" spans="1:2" x14ac:dyDescent="0.25">
      <c r="A1652" s="1" t="s">
        <v>4309</v>
      </c>
      <c r="B1652" t="s">
        <v>1953</v>
      </c>
    </row>
    <row r="1653" spans="1:2" x14ac:dyDescent="0.25">
      <c r="A1653" s="1" t="s">
        <v>4310</v>
      </c>
      <c r="B1653" t="s">
        <v>1954</v>
      </c>
    </row>
    <row r="1654" spans="1:2" x14ac:dyDescent="0.25">
      <c r="A1654" s="1" t="s">
        <v>4311</v>
      </c>
      <c r="B1654" t="s">
        <v>1955</v>
      </c>
    </row>
    <row r="1655" spans="1:2" x14ac:dyDescent="0.25">
      <c r="A1655" s="1" t="s">
        <v>4312</v>
      </c>
      <c r="B1655" t="s">
        <v>1956</v>
      </c>
    </row>
    <row r="1656" spans="1:2" x14ac:dyDescent="0.25">
      <c r="A1656" s="1" t="s">
        <v>4313</v>
      </c>
      <c r="B1656" t="s">
        <v>1957</v>
      </c>
    </row>
    <row r="1657" spans="1:2" x14ac:dyDescent="0.25">
      <c r="A1657" s="1" t="s">
        <v>4314</v>
      </c>
      <c r="B1657" t="s">
        <v>1958</v>
      </c>
    </row>
    <row r="1658" spans="1:2" x14ac:dyDescent="0.25">
      <c r="A1658" s="1" t="s">
        <v>4315</v>
      </c>
      <c r="B1658" t="s">
        <v>1959</v>
      </c>
    </row>
    <row r="1659" spans="1:2" x14ac:dyDescent="0.25">
      <c r="A1659" s="1" t="s">
        <v>4316</v>
      </c>
      <c r="B1659" t="s">
        <v>1960</v>
      </c>
    </row>
    <row r="1660" spans="1:2" x14ac:dyDescent="0.25">
      <c r="A1660" s="1" t="s">
        <v>4317</v>
      </c>
      <c r="B1660" t="s">
        <v>1961</v>
      </c>
    </row>
    <row r="1661" spans="1:2" x14ac:dyDescent="0.25">
      <c r="A1661" s="1" t="s">
        <v>4318</v>
      </c>
      <c r="B1661" t="s">
        <v>1962</v>
      </c>
    </row>
    <row r="1662" spans="1:2" x14ac:dyDescent="0.25">
      <c r="A1662" s="1" t="s">
        <v>4319</v>
      </c>
      <c r="B1662" t="s">
        <v>1964</v>
      </c>
    </row>
    <row r="1663" spans="1:2" x14ac:dyDescent="0.25">
      <c r="A1663" s="1" t="s">
        <v>4320</v>
      </c>
      <c r="B1663" t="s">
        <v>1965</v>
      </c>
    </row>
    <row r="1664" spans="1:2" x14ac:dyDescent="0.25">
      <c r="A1664" s="1" t="s">
        <v>4321</v>
      </c>
      <c r="B1664" t="s">
        <v>1966</v>
      </c>
    </row>
    <row r="1665" spans="1:2" x14ac:dyDescent="0.25">
      <c r="A1665" s="1" t="s">
        <v>4322</v>
      </c>
      <c r="B1665" t="s">
        <v>1967</v>
      </c>
    </row>
    <row r="1666" spans="1:2" x14ac:dyDescent="0.25">
      <c r="A1666" s="1" t="s">
        <v>4323</v>
      </c>
      <c r="B1666" t="s">
        <v>1968</v>
      </c>
    </row>
    <row r="1667" spans="1:2" x14ac:dyDescent="0.25">
      <c r="A1667" s="1" t="s">
        <v>4324</v>
      </c>
      <c r="B1667" t="s">
        <v>1969</v>
      </c>
    </row>
    <row r="1668" spans="1:2" x14ac:dyDescent="0.25">
      <c r="A1668" s="1" t="s">
        <v>4325</v>
      </c>
      <c r="B1668" t="s">
        <v>1971</v>
      </c>
    </row>
    <row r="1669" spans="1:2" x14ac:dyDescent="0.25">
      <c r="A1669" s="1" t="s">
        <v>4326</v>
      </c>
      <c r="B1669" t="s">
        <v>1972</v>
      </c>
    </row>
    <row r="1670" spans="1:2" x14ac:dyDescent="0.25">
      <c r="A1670" s="1" t="s">
        <v>4327</v>
      </c>
      <c r="B1670" t="s">
        <v>1973</v>
      </c>
    </row>
    <row r="1671" spans="1:2" x14ac:dyDescent="0.25">
      <c r="A1671" s="1" t="s">
        <v>4328</v>
      </c>
      <c r="B1671" t="s">
        <v>1975</v>
      </c>
    </row>
    <row r="1672" spans="1:2" x14ac:dyDescent="0.25">
      <c r="A1672" s="1" t="s">
        <v>4329</v>
      </c>
      <c r="B1672" t="s">
        <v>1976</v>
      </c>
    </row>
    <row r="1673" spans="1:2" x14ac:dyDescent="0.25">
      <c r="A1673" s="1" t="s">
        <v>4330</v>
      </c>
      <c r="B1673" t="s">
        <v>1977</v>
      </c>
    </row>
    <row r="1674" spans="1:2" x14ac:dyDescent="0.25">
      <c r="A1674" s="1" t="s">
        <v>4331</v>
      </c>
      <c r="B1674" t="s">
        <v>1978</v>
      </c>
    </row>
    <row r="1675" spans="1:2" x14ac:dyDescent="0.25">
      <c r="A1675" s="1" t="s">
        <v>4332</v>
      </c>
      <c r="B1675" t="s">
        <v>1979</v>
      </c>
    </row>
    <row r="1676" spans="1:2" x14ac:dyDescent="0.25">
      <c r="A1676" s="1" t="s">
        <v>4333</v>
      </c>
      <c r="B1676" t="s">
        <v>1980</v>
      </c>
    </row>
    <row r="1677" spans="1:2" x14ac:dyDescent="0.25">
      <c r="A1677" s="1" t="s">
        <v>4334</v>
      </c>
      <c r="B1677" t="s">
        <v>1982</v>
      </c>
    </row>
    <row r="1678" spans="1:2" x14ac:dyDescent="0.25">
      <c r="A1678" s="1" t="s">
        <v>4335</v>
      </c>
      <c r="B1678" t="s">
        <v>2033</v>
      </c>
    </row>
    <row r="1679" spans="1:2" x14ac:dyDescent="0.25">
      <c r="A1679" s="1" t="s">
        <v>4336</v>
      </c>
      <c r="B1679" t="s">
        <v>1983</v>
      </c>
    </row>
    <row r="1680" spans="1:2" x14ac:dyDescent="0.25">
      <c r="A1680" s="1" t="s">
        <v>4337</v>
      </c>
      <c r="B1680" t="s">
        <v>1984</v>
      </c>
    </row>
    <row r="1681" spans="1:2" x14ac:dyDescent="0.25">
      <c r="A1681" s="1" t="s">
        <v>4338</v>
      </c>
      <c r="B1681" t="s">
        <v>1985</v>
      </c>
    </row>
    <row r="1682" spans="1:2" x14ac:dyDescent="0.25">
      <c r="A1682" s="1" t="s">
        <v>4339</v>
      </c>
      <c r="B1682" t="s">
        <v>1986</v>
      </c>
    </row>
    <row r="1683" spans="1:2" x14ac:dyDescent="0.25">
      <c r="A1683" s="1" t="s">
        <v>4340</v>
      </c>
      <c r="B1683" t="s">
        <v>1988</v>
      </c>
    </row>
    <row r="1684" spans="1:2" x14ac:dyDescent="0.25">
      <c r="A1684" s="1" t="s">
        <v>4341</v>
      </c>
      <c r="B1684" t="s">
        <v>1989</v>
      </c>
    </row>
    <row r="1685" spans="1:2" x14ac:dyDescent="0.25">
      <c r="A1685" s="1" t="s">
        <v>4342</v>
      </c>
      <c r="B1685" t="s">
        <v>1990</v>
      </c>
    </row>
    <row r="1686" spans="1:2" x14ac:dyDescent="0.25">
      <c r="A1686" s="1" t="s">
        <v>4343</v>
      </c>
      <c r="B1686" t="s">
        <v>1991</v>
      </c>
    </row>
    <row r="1687" spans="1:2" x14ac:dyDescent="0.25">
      <c r="A1687" s="1" t="s">
        <v>4344</v>
      </c>
      <c r="B1687" t="s">
        <v>1992</v>
      </c>
    </row>
    <row r="1688" spans="1:2" x14ac:dyDescent="0.25">
      <c r="A1688" s="1" t="s">
        <v>4345</v>
      </c>
      <c r="B1688" t="s">
        <v>1993</v>
      </c>
    </row>
    <row r="1689" spans="1:2" x14ac:dyDescent="0.25">
      <c r="A1689" s="1" t="s">
        <v>4346</v>
      </c>
      <c r="B1689" t="s">
        <v>1995</v>
      </c>
    </row>
    <row r="1690" spans="1:2" x14ac:dyDescent="0.25">
      <c r="A1690" s="1" t="s">
        <v>4347</v>
      </c>
      <c r="B1690" t="s">
        <v>1996</v>
      </c>
    </row>
    <row r="1691" spans="1:2" x14ac:dyDescent="0.25">
      <c r="A1691" s="1" t="s">
        <v>4348</v>
      </c>
      <c r="B1691" t="s">
        <v>1998</v>
      </c>
    </row>
    <row r="1692" spans="1:2" x14ac:dyDescent="0.25">
      <c r="A1692" s="1" t="s">
        <v>4349</v>
      </c>
      <c r="B1692" t="s">
        <v>1999</v>
      </c>
    </row>
    <row r="1693" spans="1:2" x14ac:dyDescent="0.25">
      <c r="A1693" s="1" t="s">
        <v>4350</v>
      </c>
      <c r="B1693" t="s">
        <v>2001</v>
      </c>
    </row>
    <row r="1694" spans="1:2" x14ac:dyDescent="0.25">
      <c r="A1694" s="1" t="s">
        <v>4351</v>
      </c>
      <c r="B1694" t="s">
        <v>2002</v>
      </c>
    </row>
    <row r="1695" spans="1:2" x14ac:dyDescent="0.25">
      <c r="A1695" s="1" t="s">
        <v>4352</v>
      </c>
      <c r="B1695" t="s">
        <v>2003</v>
      </c>
    </row>
    <row r="1696" spans="1:2" x14ac:dyDescent="0.25">
      <c r="A1696" s="1" t="s">
        <v>4353</v>
      </c>
      <c r="B1696" t="s">
        <v>2004</v>
      </c>
    </row>
    <row r="1697" spans="1:2" x14ac:dyDescent="0.25">
      <c r="A1697" s="1" t="s">
        <v>4354</v>
      </c>
      <c r="B1697" t="s">
        <v>2006</v>
      </c>
    </row>
    <row r="1698" spans="1:2" x14ac:dyDescent="0.25">
      <c r="A1698" s="1" t="s">
        <v>4355</v>
      </c>
      <c r="B1698" t="s">
        <v>2007</v>
      </c>
    </row>
    <row r="1699" spans="1:2" x14ac:dyDescent="0.25">
      <c r="A1699" s="1" t="s">
        <v>4356</v>
      </c>
      <c r="B1699" t="s">
        <v>2008</v>
      </c>
    </row>
    <row r="1700" spans="1:2" x14ac:dyDescent="0.25">
      <c r="A1700" s="1" t="s">
        <v>4357</v>
      </c>
      <c r="B1700" t="s">
        <v>2009</v>
      </c>
    </row>
    <row r="1701" spans="1:2" x14ac:dyDescent="0.25">
      <c r="A1701" s="1" t="s">
        <v>4358</v>
      </c>
      <c r="B1701" t="s">
        <v>2011</v>
      </c>
    </row>
    <row r="1702" spans="1:2" x14ac:dyDescent="0.25">
      <c r="A1702" s="1" t="s">
        <v>4359</v>
      </c>
      <c r="B1702" t="s">
        <v>2012</v>
      </c>
    </row>
    <row r="1703" spans="1:2" x14ac:dyDescent="0.25">
      <c r="A1703" s="1" t="s">
        <v>4360</v>
      </c>
      <c r="B1703" t="s">
        <v>2013</v>
      </c>
    </row>
    <row r="1704" spans="1:2" x14ac:dyDescent="0.25">
      <c r="A1704" s="1" t="s">
        <v>4361</v>
      </c>
      <c r="B1704" t="s">
        <v>2014</v>
      </c>
    </row>
    <row r="1705" spans="1:2" x14ac:dyDescent="0.25">
      <c r="A1705" s="1" t="s">
        <v>4362</v>
      </c>
      <c r="B1705" t="s">
        <v>2015</v>
      </c>
    </row>
    <row r="1706" spans="1:2" x14ac:dyDescent="0.25">
      <c r="A1706" s="1" t="s">
        <v>4363</v>
      </c>
      <c r="B1706" t="s">
        <v>2017</v>
      </c>
    </row>
    <row r="1707" spans="1:2" x14ac:dyDescent="0.25">
      <c r="A1707" s="1" t="s">
        <v>4364</v>
      </c>
      <c r="B1707" t="s">
        <v>2018</v>
      </c>
    </row>
    <row r="1708" spans="1:2" x14ac:dyDescent="0.25">
      <c r="A1708" s="1" t="s">
        <v>4365</v>
      </c>
      <c r="B1708" t="s">
        <v>2019</v>
      </c>
    </row>
    <row r="1709" spans="1:2" x14ac:dyDescent="0.25">
      <c r="A1709" s="1" t="s">
        <v>4366</v>
      </c>
      <c r="B1709" t="s">
        <v>2020</v>
      </c>
    </row>
    <row r="1710" spans="1:2" x14ac:dyDescent="0.25">
      <c r="A1710" s="1" t="s">
        <v>4367</v>
      </c>
      <c r="B1710" t="s">
        <v>2021</v>
      </c>
    </row>
    <row r="1711" spans="1:2" x14ac:dyDescent="0.25">
      <c r="A1711" s="1" t="s">
        <v>4368</v>
      </c>
      <c r="B1711" t="s">
        <v>2022</v>
      </c>
    </row>
    <row r="1712" spans="1:2" x14ac:dyDescent="0.25">
      <c r="A1712" s="1" t="s">
        <v>4369</v>
      </c>
      <c r="B1712" t="s">
        <v>2023</v>
      </c>
    </row>
    <row r="1713" spans="1:2" x14ac:dyDescent="0.25">
      <c r="A1713" s="1" t="s">
        <v>4370</v>
      </c>
      <c r="B1713" t="s">
        <v>2024</v>
      </c>
    </row>
    <row r="1714" spans="1:2" x14ac:dyDescent="0.25">
      <c r="A1714" s="1" t="s">
        <v>4371</v>
      </c>
      <c r="B1714" t="s">
        <v>2025</v>
      </c>
    </row>
    <row r="1715" spans="1:2" x14ac:dyDescent="0.25">
      <c r="A1715" s="1" t="s">
        <v>4372</v>
      </c>
      <c r="B1715" t="s">
        <v>2026</v>
      </c>
    </row>
    <row r="1716" spans="1:2" x14ac:dyDescent="0.25">
      <c r="A1716" s="1" t="s">
        <v>4373</v>
      </c>
      <c r="B1716" t="s">
        <v>2027</v>
      </c>
    </row>
    <row r="1717" spans="1:2" x14ac:dyDescent="0.25">
      <c r="A1717" s="1" t="s">
        <v>4374</v>
      </c>
      <c r="B1717" t="s">
        <v>2028</v>
      </c>
    </row>
    <row r="1718" spans="1:2" x14ac:dyDescent="0.25">
      <c r="A1718" s="1" t="s">
        <v>4375</v>
      </c>
      <c r="B1718" t="s">
        <v>2029</v>
      </c>
    </row>
    <row r="1719" spans="1:2" x14ac:dyDescent="0.25">
      <c r="A1719" s="1" t="s">
        <v>4376</v>
      </c>
      <c r="B1719" t="s">
        <v>2030</v>
      </c>
    </row>
    <row r="1720" spans="1:2" x14ac:dyDescent="0.25">
      <c r="A1720" s="1" t="s">
        <v>4377</v>
      </c>
      <c r="B1720" t="s">
        <v>2031</v>
      </c>
    </row>
    <row r="1721" spans="1:2" x14ac:dyDescent="0.25">
      <c r="A1721" s="1" t="s">
        <v>4378</v>
      </c>
      <c r="B1721" t="s">
        <v>2032</v>
      </c>
    </row>
    <row r="1722" spans="1:2" x14ac:dyDescent="0.25">
      <c r="A1722" s="1" t="s">
        <v>4379</v>
      </c>
      <c r="B1722" t="s">
        <v>2033</v>
      </c>
    </row>
    <row r="1723" spans="1:2" x14ac:dyDescent="0.25">
      <c r="A1723" s="1" t="s">
        <v>4380</v>
      </c>
      <c r="B1723" t="s">
        <v>2034</v>
      </c>
    </row>
    <row r="1724" spans="1:2" x14ac:dyDescent="0.25">
      <c r="A1724" s="1" t="s">
        <v>4381</v>
      </c>
      <c r="B1724" t="s">
        <v>2035</v>
      </c>
    </row>
    <row r="1725" spans="1:2" x14ac:dyDescent="0.25">
      <c r="A1725" s="1" t="s">
        <v>4382</v>
      </c>
      <c r="B1725" t="s">
        <v>2036</v>
      </c>
    </row>
    <row r="1726" spans="1:2" x14ac:dyDescent="0.25">
      <c r="A1726" s="1" t="s">
        <v>4383</v>
      </c>
      <c r="B1726" t="s">
        <v>2037</v>
      </c>
    </row>
    <row r="1727" spans="1:2" x14ac:dyDescent="0.25">
      <c r="A1727" s="1" t="s">
        <v>4384</v>
      </c>
      <c r="B1727" t="s">
        <v>2038</v>
      </c>
    </row>
    <row r="1728" spans="1:2" x14ac:dyDescent="0.25">
      <c r="A1728" s="1" t="s">
        <v>4385</v>
      </c>
      <c r="B1728" t="s">
        <v>42</v>
      </c>
    </row>
    <row r="1729" spans="1:2" x14ac:dyDescent="0.25">
      <c r="A1729" s="1" t="s">
        <v>4386</v>
      </c>
      <c r="B1729" t="s">
        <v>2039</v>
      </c>
    </row>
    <row r="1730" spans="1:2" x14ac:dyDescent="0.25">
      <c r="A1730" s="1" t="s">
        <v>4387</v>
      </c>
      <c r="B1730" t="s">
        <v>2040</v>
      </c>
    </row>
    <row r="1731" spans="1:2" x14ac:dyDescent="0.25">
      <c r="A1731" s="1" t="s">
        <v>4388</v>
      </c>
      <c r="B1731" t="s">
        <v>2042</v>
      </c>
    </row>
    <row r="1732" spans="1:2" x14ac:dyDescent="0.25">
      <c r="A1732" s="1" t="s">
        <v>4389</v>
      </c>
      <c r="B1732" t="s">
        <v>2043</v>
      </c>
    </row>
    <row r="1733" spans="1:2" x14ac:dyDescent="0.25">
      <c r="A1733" s="1" t="s">
        <v>4390</v>
      </c>
      <c r="B1733" t="s">
        <v>2044</v>
      </c>
    </row>
    <row r="1734" spans="1:2" x14ac:dyDescent="0.25">
      <c r="A1734" s="1" t="s">
        <v>4391</v>
      </c>
      <c r="B1734" t="s">
        <v>42</v>
      </c>
    </row>
    <row r="1735" spans="1:2" x14ac:dyDescent="0.25">
      <c r="A1735" s="1" t="s">
        <v>4392</v>
      </c>
      <c r="B1735" t="s">
        <v>2045</v>
      </c>
    </row>
    <row r="1736" spans="1:2" x14ac:dyDescent="0.25">
      <c r="A1736" s="1" t="s">
        <v>4393</v>
      </c>
      <c r="B1736" t="s">
        <v>2047</v>
      </c>
    </row>
    <row r="1737" spans="1:2" x14ac:dyDescent="0.25">
      <c r="A1737" s="1" t="s">
        <v>4394</v>
      </c>
      <c r="B1737" t="s">
        <v>2049</v>
      </c>
    </row>
    <row r="1738" spans="1:2" x14ac:dyDescent="0.25">
      <c r="A1738" s="1" t="s">
        <v>4395</v>
      </c>
      <c r="B1738" t="s">
        <v>2050</v>
      </c>
    </row>
    <row r="1739" spans="1:2" x14ac:dyDescent="0.25">
      <c r="A1739" s="1" t="s">
        <v>4396</v>
      </c>
      <c r="B1739" t="s">
        <v>2051</v>
      </c>
    </row>
    <row r="1740" spans="1:2" x14ac:dyDescent="0.25">
      <c r="A1740" s="1" t="s">
        <v>4397</v>
      </c>
      <c r="B1740" t="s">
        <v>2052</v>
      </c>
    </row>
    <row r="1741" spans="1:2" x14ac:dyDescent="0.25">
      <c r="A1741" s="1" t="s">
        <v>4398</v>
      </c>
      <c r="B1741" t="s">
        <v>2053</v>
      </c>
    </row>
    <row r="1742" spans="1:2" x14ac:dyDescent="0.25">
      <c r="A1742" s="1" t="s">
        <v>4399</v>
      </c>
      <c r="B1742" t="s">
        <v>2054</v>
      </c>
    </row>
    <row r="1743" spans="1:2" x14ac:dyDescent="0.25">
      <c r="A1743" s="1" t="s">
        <v>4400</v>
      </c>
      <c r="B1743" t="s">
        <v>2055</v>
      </c>
    </row>
    <row r="1744" spans="1:2" x14ac:dyDescent="0.25">
      <c r="A1744" s="1" t="s">
        <v>4401</v>
      </c>
      <c r="B1744" t="s">
        <v>2056</v>
      </c>
    </row>
    <row r="1745" spans="1:2" x14ac:dyDescent="0.25">
      <c r="A1745" s="1" t="s">
        <v>4402</v>
      </c>
      <c r="B1745" t="s">
        <v>2057</v>
      </c>
    </row>
    <row r="1746" spans="1:2" x14ac:dyDescent="0.25">
      <c r="A1746" s="1" t="s">
        <v>4403</v>
      </c>
      <c r="B1746" t="s">
        <v>2058</v>
      </c>
    </row>
    <row r="1747" spans="1:2" x14ac:dyDescent="0.25">
      <c r="A1747" s="1" t="s">
        <v>4404</v>
      </c>
      <c r="B1747" t="s">
        <v>2059</v>
      </c>
    </row>
    <row r="1748" spans="1:2" x14ac:dyDescent="0.25">
      <c r="A1748" s="1" t="s">
        <v>4405</v>
      </c>
      <c r="B1748" t="s">
        <v>2060</v>
      </c>
    </row>
    <row r="1749" spans="1:2" x14ac:dyDescent="0.25">
      <c r="A1749" s="1" t="s">
        <v>4406</v>
      </c>
      <c r="B1749" t="s">
        <v>2061</v>
      </c>
    </row>
    <row r="1750" spans="1:2" x14ac:dyDescent="0.25">
      <c r="A1750" s="1" t="s">
        <v>4407</v>
      </c>
      <c r="B1750" t="s">
        <v>2062</v>
      </c>
    </row>
    <row r="1751" spans="1:2" x14ac:dyDescent="0.25">
      <c r="A1751" s="1" t="s">
        <v>4408</v>
      </c>
      <c r="B1751" t="s">
        <v>2063</v>
      </c>
    </row>
    <row r="1752" spans="1:2" x14ac:dyDescent="0.25">
      <c r="A1752" s="1" t="s">
        <v>4409</v>
      </c>
      <c r="B1752" t="s">
        <v>2064</v>
      </c>
    </row>
    <row r="1753" spans="1:2" x14ac:dyDescent="0.25">
      <c r="A1753" s="1" t="s">
        <v>4410</v>
      </c>
      <c r="B1753" t="s">
        <v>2065</v>
      </c>
    </row>
    <row r="1754" spans="1:2" x14ac:dyDescent="0.25">
      <c r="A1754" s="1" t="s">
        <v>4411</v>
      </c>
      <c r="B1754" t="s">
        <v>2067</v>
      </c>
    </row>
    <row r="1755" spans="1:2" x14ac:dyDescent="0.25">
      <c r="A1755" s="1" t="s">
        <v>4412</v>
      </c>
      <c r="B1755" t="s">
        <v>2068</v>
      </c>
    </row>
    <row r="1756" spans="1:2" x14ac:dyDescent="0.25">
      <c r="A1756" s="1" t="s">
        <v>4413</v>
      </c>
      <c r="B1756" t="s">
        <v>2069</v>
      </c>
    </row>
    <row r="1757" spans="1:2" x14ac:dyDescent="0.25">
      <c r="A1757" s="1" t="s">
        <v>4414</v>
      </c>
      <c r="B1757" t="s">
        <v>2070</v>
      </c>
    </row>
    <row r="1758" spans="1:2" x14ac:dyDescent="0.25">
      <c r="A1758" s="1" t="s">
        <v>4415</v>
      </c>
      <c r="B1758" t="s">
        <v>2071</v>
      </c>
    </row>
    <row r="1759" spans="1:2" x14ac:dyDescent="0.25">
      <c r="A1759" s="1" t="s">
        <v>4416</v>
      </c>
      <c r="B1759" t="s">
        <v>2072</v>
      </c>
    </row>
    <row r="1760" spans="1:2" x14ac:dyDescent="0.25">
      <c r="A1760" s="1" t="s">
        <v>4417</v>
      </c>
      <c r="B1760" t="s">
        <v>2074</v>
      </c>
    </row>
    <row r="1761" spans="1:2" x14ac:dyDescent="0.25">
      <c r="A1761" s="1" t="s">
        <v>4418</v>
      </c>
      <c r="B1761" t="s">
        <v>2075</v>
      </c>
    </row>
    <row r="1762" spans="1:2" x14ac:dyDescent="0.25">
      <c r="A1762" s="1" t="s">
        <v>4419</v>
      </c>
      <c r="B1762" t="s">
        <v>2076</v>
      </c>
    </row>
    <row r="1763" spans="1:2" x14ac:dyDescent="0.25">
      <c r="A1763" s="1" t="s">
        <v>4420</v>
      </c>
      <c r="B1763" t="s">
        <v>2077</v>
      </c>
    </row>
    <row r="1764" spans="1:2" x14ac:dyDescent="0.25">
      <c r="A1764" s="1" t="s">
        <v>4421</v>
      </c>
      <c r="B1764" t="s">
        <v>2078</v>
      </c>
    </row>
    <row r="1765" spans="1:2" x14ac:dyDescent="0.25">
      <c r="A1765" s="1" t="s">
        <v>4422</v>
      </c>
      <c r="B1765" t="s">
        <v>2079</v>
      </c>
    </row>
    <row r="1766" spans="1:2" x14ac:dyDescent="0.25">
      <c r="A1766" s="1" t="s">
        <v>4423</v>
      </c>
      <c r="B1766" t="s">
        <v>2080</v>
      </c>
    </row>
    <row r="1767" spans="1:2" x14ac:dyDescent="0.25">
      <c r="A1767" s="1" t="s">
        <v>4424</v>
      </c>
      <c r="B1767" t="s">
        <v>2081</v>
      </c>
    </row>
    <row r="1768" spans="1:2" x14ac:dyDescent="0.25">
      <c r="A1768" s="1" t="s">
        <v>4425</v>
      </c>
      <c r="B1768" t="s">
        <v>2082</v>
      </c>
    </row>
    <row r="1769" spans="1:2" x14ac:dyDescent="0.25">
      <c r="A1769" s="1" t="s">
        <v>4426</v>
      </c>
      <c r="B1769" t="s">
        <v>2084</v>
      </c>
    </row>
    <row r="1770" spans="1:2" x14ac:dyDescent="0.25">
      <c r="A1770" s="1" t="s">
        <v>4427</v>
      </c>
      <c r="B1770" t="s">
        <v>2085</v>
      </c>
    </row>
    <row r="1771" spans="1:2" x14ac:dyDescent="0.25">
      <c r="A1771" s="1" t="s">
        <v>4428</v>
      </c>
      <c r="B1771" t="s">
        <v>2086</v>
      </c>
    </row>
    <row r="1772" spans="1:2" x14ac:dyDescent="0.25">
      <c r="A1772" s="1" t="s">
        <v>4429</v>
      </c>
      <c r="B1772" t="s">
        <v>2087</v>
      </c>
    </row>
    <row r="1773" spans="1:2" x14ac:dyDescent="0.25">
      <c r="A1773" s="1" t="s">
        <v>4430</v>
      </c>
      <c r="B1773" t="s">
        <v>2089</v>
      </c>
    </row>
    <row r="1774" spans="1:2" x14ac:dyDescent="0.25">
      <c r="A1774" s="1" t="s">
        <v>4431</v>
      </c>
      <c r="B1774" t="s">
        <v>2090</v>
      </c>
    </row>
    <row r="1775" spans="1:2" x14ac:dyDescent="0.25">
      <c r="A1775" s="1" t="s">
        <v>4432</v>
      </c>
      <c r="B1775" t="s">
        <v>2091</v>
      </c>
    </row>
    <row r="1776" spans="1:2" x14ac:dyDescent="0.25">
      <c r="A1776" s="1" t="s">
        <v>4433</v>
      </c>
      <c r="B1776" t="s">
        <v>2092</v>
      </c>
    </row>
    <row r="1777" spans="1:2" x14ac:dyDescent="0.25">
      <c r="A1777" s="1" t="s">
        <v>4434</v>
      </c>
      <c r="B1777" t="s">
        <v>2093</v>
      </c>
    </row>
    <row r="1778" spans="1:2" x14ac:dyDescent="0.25">
      <c r="A1778" s="1" t="s">
        <v>4435</v>
      </c>
      <c r="B1778" t="s">
        <v>2095</v>
      </c>
    </row>
    <row r="1779" spans="1:2" x14ac:dyDescent="0.25">
      <c r="A1779" s="1" t="s">
        <v>4436</v>
      </c>
      <c r="B1779" t="s">
        <v>2096</v>
      </c>
    </row>
    <row r="1780" spans="1:2" x14ac:dyDescent="0.25">
      <c r="A1780" s="1" t="s">
        <v>4437</v>
      </c>
      <c r="B1780" t="s">
        <v>2097</v>
      </c>
    </row>
    <row r="1781" spans="1:2" x14ac:dyDescent="0.25">
      <c r="A1781" s="1" t="s">
        <v>4438</v>
      </c>
      <c r="B1781" t="s">
        <v>2098</v>
      </c>
    </row>
    <row r="1782" spans="1:2" x14ac:dyDescent="0.25">
      <c r="A1782" s="1" t="s">
        <v>4439</v>
      </c>
      <c r="B1782" t="s">
        <v>2099</v>
      </c>
    </row>
    <row r="1783" spans="1:2" x14ac:dyDescent="0.25">
      <c r="A1783" s="1" t="s">
        <v>4440</v>
      </c>
      <c r="B1783" t="s">
        <v>2100</v>
      </c>
    </row>
    <row r="1784" spans="1:2" x14ac:dyDescent="0.25">
      <c r="A1784" s="1" t="s">
        <v>4441</v>
      </c>
      <c r="B1784" t="s">
        <v>2101</v>
      </c>
    </row>
    <row r="1785" spans="1:2" x14ac:dyDescent="0.25">
      <c r="A1785" s="1" t="s">
        <v>4442</v>
      </c>
      <c r="B1785" t="s">
        <v>2102</v>
      </c>
    </row>
    <row r="1786" spans="1:2" x14ac:dyDescent="0.25">
      <c r="A1786" s="1" t="s">
        <v>4443</v>
      </c>
      <c r="B1786" t="s">
        <v>2103</v>
      </c>
    </row>
    <row r="1787" spans="1:2" x14ac:dyDescent="0.25">
      <c r="A1787" s="1" t="s">
        <v>4444</v>
      </c>
      <c r="B1787" t="s">
        <v>2105</v>
      </c>
    </row>
    <row r="1788" spans="1:2" x14ac:dyDescent="0.25">
      <c r="A1788" s="1" t="s">
        <v>4445</v>
      </c>
      <c r="B1788" t="s">
        <v>2106</v>
      </c>
    </row>
    <row r="1789" spans="1:2" x14ac:dyDescent="0.25">
      <c r="A1789" s="1" t="s">
        <v>4446</v>
      </c>
      <c r="B1789" t="s">
        <v>2107</v>
      </c>
    </row>
    <row r="1790" spans="1:2" x14ac:dyDescent="0.25">
      <c r="A1790" s="1" t="s">
        <v>4447</v>
      </c>
      <c r="B1790" t="s">
        <v>2108</v>
      </c>
    </row>
    <row r="1791" spans="1:2" x14ac:dyDescent="0.25">
      <c r="A1791" s="1" t="s">
        <v>4448</v>
      </c>
      <c r="B1791" t="s">
        <v>2109</v>
      </c>
    </row>
    <row r="1792" spans="1:2" x14ac:dyDescent="0.25">
      <c r="A1792" s="1" t="s">
        <v>4449</v>
      </c>
      <c r="B1792" t="s">
        <v>2110</v>
      </c>
    </row>
    <row r="1793" spans="1:2" x14ac:dyDescent="0.25">
      <c r="A1793" s="1" t="s">
        <v>4450</v>
      </c>
      <c r="B1793" t="s">
        <v>2111</v>
      </c>
    </row>
    <row r="1794" spans="1:2" x14ac:dyDescent="0.25">
      <c r="A1794" s="1" t="s">
        <v>4451</v>
      </c>
      <c r="B1794" t="s">
        <v>2112</v>
      </c>
    </row>
    <row r="1795" spans="1:2" x14ac:dyDescent="0.25">
      <c r="A1795" s="1" t="s">
        <v>4452</v>
      </c>
      <c r="B1795" t="s">
        <v>2113</v>
      </c>
    </row>
    <row r="1796" spans="1:2" x14ac:dyDescent="0.25">
      <c r="A1796" s="1" t="s">
        <v>4453</v>
      </c>
      <c r="B1796" t="s">
        <v>2114</v>
      </c>
    </row>
    <row r="1797" spans="1:2" x14ac:dyDescent="0.25">
      <c r="A1797" s="1" t="s">
        <v>4454</v>
      </c>
      <c r="B1797" t="s">
        <v>2116</v>
      </c>
    </row>
    <row r="1798" spans="1:2" x14ac:dyDescent="0.25">
      <c r="A1798" s="1" t="s">
        <v>4455</v>
      </c>
      <c r="B1798" t="s">
        <v>2117</v>
      </c>
    </row>
    <row r="1799" spans="1:2" x14ac:dyDescent="0.25">
      <c r="A1799" s="1" t="s">
        <v>4456</v>
      </c>
      <c r="B1799" t="s">
        <v>2118</v>
      </c>
    </row>
    <row r="1800" spans="1:2" x14ac:dyDescent="0.25">
      <c r="A1800" s="1" t="s">
        <v>4457</v>
      </c>
      <c r="B1800" t="s">
        <v>2119</v>
      </c>
    </row>
    <row r="1801" spans="1:2" x14ac:dyDescent="0.25">
      <c r="A1801" s="1" t="s">
        <v>4458</v>
      </c>
      <c r="B1801" t="s">
        <v>2120</v>
      </c>
    </row>
    <row r="1802" spans="1:2" x14ac:dyDescent="0.25">
      <c r="A1802" s="1" t="s">
        <v>4459</v>
      </c>
      <c r="B1802" t="s">
        <v>2121</v>
      </c>
    </row>
    <row r="1803" spans="1:2" x14ac:dyDescent="0.25">
      <c r="A1803" s="1" t="s">
        <v>4460</v>
      </c>
      <c r="B1803" t="s">
        <v>2122</v>
      </c>
    </row>
    <row r="1804" spans="1:2" x14ac:dyDescent="0.25">
      <c r="A1804" s="1" t="s">
        <v>4461</v>
      </c>
      <c r="B1804" t="s">
        <v>2124</v>
      </c>
    </row>
    <row r="1805" spans="1:2" x14ac:dyDescent="0.25">
      <c r="A1805" s="1" t="s">
        <v>4462</v>
      </c>
      <c r="B1805" t="s">
        <v>2126</v>
      </c>
    </row>
    <row r="1806" spans="1:2" x14ac:dyDescent="0.25">
      <c r="A1806" s="1" t="s">
        <v>4463</v>
      </c>
      <c r="B1806" t="s">
        <v>2127</v>
      </c>
    </row>
    <row r="1807" spans="1:2" x14ac:dyDescent="0.25">
      <c r="A1807" s="1" t="s">
        <v>4464</v>
      </c>
      <c r="B1807" t="s">
        <v>2128</v>
      </c>
    </row>
    <row r="1808" spans="1:2" x14ac:dyDescent="0.25">
      <c r="A1808" s="1" t="s">
        <v>4465</v>
      </c>
      <c r="B1808" t="s">
        <v>2129</v>
      </c>
    </row>
    <row r="1809" spans="1:2" x14ac:dyDescent="0.25">
      <c r="A1809" s="1" t="s">
        <v>4466</v>
      </c>
      <c r="B1809" t="s">
        <v>2131</v>
      </c>
    </row>
    <row r="1810" spans="1:2" x14ac:dyDescent="0.25">
      <c r="A1810" s="1" t="s">
        <v>4467</v>
      </c>
      <c r="B1810" t="s">
        <v>2132</v>
      </c>
    </row>
    <row r="1811" spans="1:2" x14ac:dyDescent="0.25">
      <c r="A1811" s="1" t="s">
        <v>4468</v>
      </c>
      <c r="B1811" t="s">
        <v>2133</v>
      </c>
    </row>
    <row r="1812" spans="1:2" x14ac:dyDescent="0.25">
      <c r="A1812" s="1" t="s">
        <v>4469</v>
      </c>
      <c r="B1812" t="s">
        <v>2134</v>
      </c>
    </row>
    <row r="1813" spans="1:2" x14ac:dyDescent="0.25">
      <c r="A1813" s="1" t="s">
        <v>4470</v>
      </c>
      <c r="B1813" t="s">
        <v>2136</v>
      </c>
    </row>
    <row r="1814" spans="1:2" x14ac:dyDescent="0.25">
      <c r="A1814" s="1" t="s">
        <v>4471</v>
      </c>
      <c r="B1814" t="s">
        <v>2137</v>
      </c>
    </row>
    <row r="1815" spans="1:2" x14ac:dyDescent="0.25">
      <c r="A1815" s="1" t="s">
        <v>4472</v>
      </c>
      <c r="B1815" t="s">
        <v>2138</v>
      </c>
    </row>
    <row r="1816" spans="1:2" x14ac:dyDescent="0.25">
      <c r="A1816" s="1" t="s">
        <v>4473</v>
      </c>
      <c r="B1816" t="s">
        <v>2139</v>
      </c>
    </row>
    <row r="1817" spans="1:2" x14ac:dyDescent="0.25">
      <c r="A1817" s="1" t="s">
        <v>4474</v>
      </c>
      <c r="B1817" t="s">
        <v>2140</v>
      </c>
    </row>
    <row r="1818" spans="1:2" x14ac:dyDescent="0.25">
      <c r="A1818" s="1" t="s">
        <v>4475</v>
      </c>
      <c r="B1818" t="s">
        <v>2141</v>
      </c>
    </row>
    <row r="1819" spans="1:2" x14ac:dyDescent="0.25">
      <c r="A1819" s="1" t="s">
        <v>4476</v>
      </c>
      <c r="B1819" t="s">
        <v>2142</v>
      </c>
    </row>
    <row r="1820" spans="1:2" x14ac:dyDescent="0.25">
      <c r="A1820" s="1" t="s">
        <v>4477</v>
      </c>
      <c r="B1820" t="s">
        <v>2143</v>
      </c>
    </row>
    <row r="1821" spans="1:2" x14ac:dyDescent="0.25">
      <c r="A1821" s="1" t="s">
        <v>4478</v>
      </c>
      <c r="B1821" t="s">
        <v>2145</v>
      </c>
    </row>
    <row r="1822" spans="1:2" x14ac:dyDescent="0.25">
      <c r="A1822" s="1" t="s">
        <v>4479</v>
      </c>
      <c r="B1822" t="s">
        <v>2146</v>
      </c>
    </row>
    <row r="1823" spans="1:2" x14ac:dyDescent="0.25">
      <c r="A1823" s="1" t="s">
        <v>4480</v>
      </c>
      <c r="B1823" t="s">
        <v>2147</v>
      </c>
    </row>
    <row r="1824" spans="1:2" x14ac:dyDescent="0.25">
      <c r="A1824" s="1" t="s">
        <v>4481</v>
      </c>
      <c r="B1824" t="s">
        <v>2148</v>
      </c>
    </row>
    <row r="1825" spans="1:2" x14ac:dyDescent="0.25">
      <c r="A1825" s="1" t="s">
        <v>4482</v>
      </c>
      <c r="B1825" t="s">
        <v>42</v>
      </c>
    </row>
    <row r="1826" spans="1:2" x14ac:dyDescent="0.25">
      <c r="A1826" s="1" t="s">
        <v>4483</v>
      </c>
      <c r="B1826" t="s">
        <v>2149</v>
      </c>
    </row>
    <row r="1827" spans="1:2" x14ac:dyDescent="0.25">
      <c r="A1827" s="1" t="s">
        <v>4484</v>
      </c>
      <c r="B1827" t="s">
        <v>2151</v>
      </c>
    </row>
    <row r="1828" spans="1:2" x14ac:dyDescent="0.25">
      <c r="A1828" s="1" t="s">
        <v>4485</v>
      </c>
      <c r="B1828" t="s">
        <v>2152</v>
      </c>
    </row>
    <row r="1829" spans="1:2" x14ac:dyDescent="0.25">
      <c r="A1829" s="1" t="s">
        <v>4486</v>
      </c>
      <c r="B1829" t="s">
        <v>2153</v>
      </c>
    </row>
    <row r="1830" spans="1:2" x14ac:dyDescent="0.25">
      <c r="A1830" s="1" t="s">
        <v>4487</v>
      </c>
      <c r="B1830" t="s">
        <v>2154</v>
      </c>
    </row>
    <row r="1831" spans="1:2" x14ac:dyDescent="0.25">
      <c r="A1831" s="1" t="s">
        <v>4488</v>
      </c>
      <c r="B1831" t="s">
        <v>2155</v>
      </c>
    </row>
    <row r="1832" spans="1:2" x14ac:dyDescent="0.25">
      <c r="A1832" s="1" t="s">
        <v>4489</v>
      </c>
      <c r="B1832" t="s">
        <v>2156</v>
      </c>
    </row>
    <row r="1833" spans="1:2" x14ac:dyDescent="0.25">
      <c r="A1833" s="1" t="s">
        <v>4490</v>
      </c>
      <c r="B1833" t="s">
        <v>2157</v>
      </c>
    </row>
    <row r="1834" spans="1:2" x14ac:dyDescent="0.25">
      <c r="A1834" s="1" t="s">
        <v>4491</v>
      </c>
      <c r="B1834" t="s">
        <v>2158</v>
      </c>
    </row>
    <row r="1835" spans="1:2" x14ac:dyDescent="0.25">
      <c r="A1835" s="1" t="s">
        <v>4492</v>
      </c>
      <c r="B1835" t="s">
        <v>2159</v>
      </c>
    </row>
    <row r="1836" spans="1:2" x14ac:dyDescent="0.25">
      <c r="A1836" s="1" t="s">
        <v>4493</v>
      </c>
      <c r="B1836" t="s">
        <v>2160</v>
      </c>
    </row>
    <row r="1837" spans="1:2" x14ac:dyDescent="0.25">
      <c r="A1837" s="1" t="s">
        <v>4494</v>
      </c>
      <c r="B1837" t="s">
        <v>42</v>
      </c>
    </row>
    <row r="1838" spans="1:2" x14ac:dyDescent="0.25">
      <c r="A1838" s="1" t="s">
        <v>4495</v>
      </c>
      <c r="B1838" t="s">
        <v>2161</v>
      </c>
    </row>
    <row r="1839" spans="1:2" x14ac:dyDescent="0.25">
      <c r="A1839" s="1" t="s">
        <v>4496</v>
      </c>
      <c r="B1839" t="s">
        <v>2163</v>
      </c>
    </row>
    <row r="1840" spans="1:2" x14ac:dyDescent="0.25">
      <c r="A1840" s="1" t="s">
        <v>4497</v>
      </c>
      <c r="B1840" t="s">
        <v>2164</v>
      </c>
    </row>
    <row r="1841" spans="1:2" x14ac:dyDescent="0.25">
      <c r="A1841" s="1" t="s">
        <v>4498</v>
      </c>
      <c r="B1841" t="s">
        <v>2165</v>
      </c>
    </row>
    <row r="1842" spans="1:2" x14ac:dyDescent="0.25">
      <c r="A1842" s="1" t="s">
        <v>4499</v>
      </c>
      <c r="B1842" t="s">
        <v>2166</v>
      </c>
    </row>
    <row r="1843" spans="1:2" x14ac:dyDescent="0.25">
      <c r="A1843" s="1" t="s">
        <v>4500</v>
      </c>
      <c r="B1843" t="s">
        <v>2167</v>
      </c>
    </row>
    <row r="1844" spans="1:2" x14ac:dyDescent="0.25">
      <c r="A1844" s="1" t="s">
        <v>4501</v>
      </c>
      <c r="B1844" t="s">
        <v>2170</v>
      </c>
    </row>
    <row r="1845" spans="1:2" x14ac:dyDescent="0.25">
      <c r="A1845" s="1" t="s">
        <v>4502</v>
      </c>
      <c r="B1845" t="s">
        <v>2171</v>
      </c>
    </row>
    <row r="1846" spans="1:2" x14ac:dyDescent="0.25">
      <c r="A1846" s="1" t="s">
        <v>4503</v>
      </c>
      <c r="B1846" t="s">
        <v>2172</v>
      </c>
    </row>
    <row r="1847" spans="1:2" x14ac:dyDescent="0.25">
      <c r="A1847" s="1" t="s">
        <v>4504</v>
      </c>
      <c r="B1847" t="s">
        <v>2173</v>
      </c>
    </row>
    <row r="1848" spans="1:2" x14ac:dyDescent="0.25">
      <c r="A1848" s="1" t="s">
        <v>4505</v>
      </c>
      <c r="B1848" t="s">
        <v>2174</v>
      </c>
    </row>
    <row r="1849" spans="1:2" x14ac:dyDescent="0.25">
      <c r="A1849" s="1" t="s">
        <v>4506</v>
      </c>
      <c r="B1849" t="s">
        <v>2175</v>
      </c>
    </row>
    <row r="1850" spans="1:2" x14ac:dyDescent="0.25">
      <c r="A1850" s="1" t="s">
        <v>4507</v>
      </c>
      <c r="B1850" t="s">
        <v>2177</v>
      </c>
    </row>
    <row r="1851" spans="1:2" x14ac:dyDescent="0.25">
      <c r="A1851" s="1" t="s">
        <v>4508</v>
      </c>
      <c r="B1851" t="s">
        <v>2178</v>
      </c>
    </row>
    <row r="1852" spans="1:2" x14ac:dyDescent="0.25">
      <c r="A1852" s="1" t="s">
        <v>4509</v>
      </c>
      <c r="B1852" t="s">
        <v>2179</v>
      </c>
    </row>
    <row r="1853" spans="1:2" x14ac:dyDescent="0.25">
      <c r="A1853" s="1" t="s">
        <v>4510</v>
      </c>
      <c r="B1853" t="s">
        <v>2180</v>
      </c>
    </row>
    <row r="1854" spans="1:2" x14ac:dyDescent="0.25">
      <c r="A1854" s="1" t="s">
        <v>4511</v>
      </c>
      <c r="B1854" t="s">
        <v>2183</v>
      </c>
    </row>
    <row r="1855" spans="1:2" x14ac:dyDescent="0.25">
      <c r="A1855" s="1" t="s">
        <v>4512</v>
      </c>
      <c r="B1855" t="s">
        <v>2184</v>
      </c>
    </row>
    <row r="1856" spans="1:2" x14ac:dyDescent="0.25">
      <c r="A1856" s="1" t="s">
        <v>4513</v>
      </c>
      <c r="B1856" t="s">
        <v>2185</v>
      </c>
    </row>
    <row r="1857" spans="1:2" x14ac:dyDescent="0.25">
      <c r="A1857" s="1" t="s">
        <v>4514</v>
      </c>
      <c r="B1857" t="s">
        <v>2186</v>
      </c>
    </row>
    <row r="1858" spans="1:2" x14ac:dyDescent="0.25">
      <c r="A1858" s="1" t="s">
        <v>4515</v>
      </c>
      <c r="B1858" t="s">
        <v>2187</v>
      </c>
    </row>
    <row r="1859" spans="1:2" x14ac:dyDescent="0.25">
      <c r="A1859" s="1" t="s">
        <v>4516</v>
      </c>
      <c r="B1859" t="s">
        <v>2188</v>
      </c>
    </row>
    <row r="1860" spans="1:2" x14ac:dyDescent="0.25">
      <c r="A1860" s="1" t="s">
        <v>4517</v>
      </c>
      <c r="B1860" t="s">
        <v>2189</v>
      </c>
    </row>
    <row r="1861" spans="1:2" x14ac:dyDescent="0.25">
      <c r="A1861" s="1" t="s">
        <v>4518</v>
      </c>
      <c r="B1861" t="s">
        <v>2190</v>
      </c>
    </row>
    <row r="1862" spans="1:2" x14ac:dyDescent="0.25">
      <c r="A1862" s="1" t="s">
        <v>4519</v>
      </c>
      <c r="B1862" t="s">
        <v>2191</v>
      </c>
    </row>
    <row r="1863" spans="1:2" x14ac:dyDescent="0.25">
      <c r="A1863" s="1" t="s">
        <v>4520</v>
      </c>
      <c r="B1863" t="s">
        <v>42</v>
      </c>
    </row>
    <row r="1864" spans="1:2" x14ac:dyDescent="0.25">
      <c r="A1864" s="1" t="s">
        <v>4521</v>
      </c>
      <c r="B1864" t="s">
        <v>42</v>
      </c>
    </row>
    <row r="1865" spans="1:2" x14ac:dyDescent="0.25">
      <c r="A1865" s="1" t="s">
        <v>4522</v>
      </c>
      <c r="B1865" t="s">
        <v>42</v>
      </c>
    </row>
    <row r="1866" spans="1:2" x14ac:dyDescent="0.25">
      <c r="A1866" s="1" t="s">
        <v>4523</v>
      </c>
      <c r="B1866" t="s">
        <v>42</v>
      </c>
    </row>
    <row r="1867" spans="1:2" x14ac:dyDescent="0.25">
      <c r="A1867" s="1" t="s">
        <v>4524</v>
      </c>
      <c r="B1867" t="s">
        <v>42</v>
      </c>
    </row>
    <row r="1868" spans="1:2" x14ac:dyDescent="0.25">
      <c r="A1868" s="1" t="s">
        <v>4525</v>
      </c>
      <c r="B1868" t="s">
        <v>42</v>
      </c>
    </row>
    <row r="1869" spans="1:2" x14ac:dyDescent="0.25">
      <c r="A1869" s="1" t="s">
        <v>4526</v>
      </c>
      <c r="B1869" t="s">
        <v>42</v>
      </c>
    </row>
    <row r="1870" spans="1:2" x14ac:dyDescent="0.25">
      <c r="A1870" s="1" t="s">
        <v>4527</v>
      </c>
      <c r="B1870" t="s">
        <v>42</v>
      </c>
    </row>
    <row r="1871" spans="1:2" x14ac:dyDescent="0.25">
      <c r="A1871" s="1" t="s">
        <v>4528</v>
      </c>
      <c r="B1871" t="s">
        <v>42</v>
      </c>
    </row>
    <row r="1872" spans="1:2" x14ac:dyDescent="0.25">
      <c r="A1872" s="1" t="s">
        <v>4529</v>
      </c>
      <c r="B1872" t="s">
        <v>42</v>
      </c>
    </row>
    <row r="1873" spans="1:2" x14ac:dyDescent="0.25">
      <c r="A1873" s="1" t="s">
        <v>4530</v>
      </c>
      <c r="B1873" t="s">
        <v>42</v>
      </c>
    </row>
    <row r="1874" spans="1:2" x14ac:dyDescent="0.25">
      <c r="A1874" s="1" t="s">
        <v>4531</v>
      </c>
      <c r="B1874" t="s">
        <v>42</v>
      </c>
    </row>
    <row r="1875" spans="1:2" x14ac:dyDescent="0.25">
      <c r="A1875" s="1" t="s">
        <v>4532</v>
      </c>
      <c r="B1875" t="s">
        <v>2196</v>
      </c>
    </row>
    <row r="1876" spans="1:2" x14ac:dyDescent="0.25">
      <c r="A1876" s="1" t="s">
        <v>4533</v>
      </c>
      <c r="B1876" t="s">
        <v>2197</v>
      </c>
    </row>
    <row r="1877" spans="1:2" x14ac:dyDescent="0.25">
      <c r="A1877" s="1" t="s">
        <v>4534</v>
      </c>
      <c r="B1877" t="s">
        <v>2198</v>
      </c>
    </row>
    <row r="1878" spans="1:2" x14ac:dyDescent="0.25">
      <c r="A1878" s="1" t="s">
        <v>4535</v>
      </c>
      <c r="B1878" t="s">
        <v>2199</v>
      </c>
    </row>
    <row r="1879" spans="1:2" x14ac:dyDescent="0.25">
      <c r="A1879" s="1" t="s">
        <v>4536</v>
      </c>
      <c r="B1879" t="s">
        <v>2200</v>
      </c>
    </row>
    <row r="1880" spans="1:2" x14ac:dyDescent="0.25">
      <c r="A1880" s="1" t="s">
        <v>4537</v>
      </c>
      <c r="B1880" t="s">
        <v>2201</v>
      </c>
    </row>
    <row r="1881" spans="1:2" x14ac:dyDescent="0.25">
      <c r="A1881" s="1" t="s">
        <v>4538</v>
      </c>
      <c r="B1881" t="s">
        <v>2202</v>
      </c>
    </row>
    <row r="1882" spans="1:2" x14ac:dyDescent="0.25">
      <c r="A1882" s="1" t="s">
        <v>4539</v>
      </c>
      <c r="B1882" t="s">
        <v>2203</v>
      </c>
    </row>
    <row r="1883" spans="1:2" x14ac:dyDescent="0.25">
      <c r="A1883" s="1" t="s">
        <v>4540</v>
      </c>
      <c r="B1883" t="s">
        <v>2204</v>
      </c>
    </row>
    <row r="1884" spans="1:2" x14ac:dyDescent="0.25">
      <c r="A1884" s="1" t="s">
        <v>4541</v>
      </c>
      <c r="B1884" t="s">
        <v>2205</v>
      </c>
    </row>
    <row r="1885" spans="1:2" x14ac:dyDescent="0.25">
      <c r="A1885" s="1" t="s">
        <v>4542</v>
      </c>
      <c r="B1885" t="s">
        <v>2207</v>
      </c>
    </row>
    <row r="1886" spans="1:2" x14ac:dyDescent="0.25">
      <c r="A1886" s="1" t="s">
        <v>4543</v>
      </c>
      <c r="B1886" t="s">
        <v>2210</v>
      </c>
    </row>
    <row r="1887" spans="1:2" x14ac:dyDescent="0.25">
      <c r="A1887" s="1" t="s">
        <v>4544</v>
      </c>
      <c r="B1887" t="s">
        <v>2211</v>
      </c>
    </row>
    <row r="1888" spans="1:2" x14ac:dyDescent="0.25">
      <c r="A1888" s="1" t="s">
        <v>4545</v>
      </c>
      <c r="B1888" t="s">
        <v>2212</v>
      </c>
    </row>
    <row r="1889" spans="1:2" x14ac:dyDescent="0.25">
      <c r="A1889" s="1" t="s">
        <v>4546</v>
      </c>
      <c r="B1889" t="s">
        <v>2213</v>
      </c>
    </row>
    <row r="1890" spans="1:2" x14ac:dyDescent="0.25">
      <c r="A1890" s="1" t="s">
        <v>4547</v>
      </c>
      <c r="B1890" t="s">
        <v>2214</v>
      </c>
    </row>
    <row r="1891" spans="1:2" x14ac:dyDescent="0.25">
      <c r="A1891" s="1" t="s">
        <v>4548</v>
      </c>
      <c r="B1891" t="s">
        <v>2215</v>
      </c>
    </row>
    <row r="1892" spans="1:2" x14ac:dyDescent="0.25">
      <c r="A1892" s="1" t="s">
        <v>4549</v>
      </c>
      <c r="B1892" t="s">
        <v>2216</v>
      </c>
    </row>
    <row r="1893" spans="1:2" x14ac:dyDescent="0.25">
      <c r="A1893" s="1" t="s">
        <v>4550</v>
      </c>
      <c r="B1893" t="s">
        <v>2217</v>
      </c>
    </row>
    <row r="1894" spans="1:2" x14ac:dyDescent="0.25">
      <c r="A1894" s="1" t="s">
        <v>4551</v>
      </c>
      <c r="B1894" t="s">
        <v>2218</v>
      </c>
    </row>
    <row r="1895" spans="1:2" x14ac:dyDescent="0.25">
      <c r="A1895" s="1" t="s">
        <v>4552</v>
      </c>
      <c r="B1895" t="s">
        <v>2219</v>
      </c>
    </row>
    <row r="1896" spans="1:2" x14ac:dyDescent="0.25">
      <c r="A1896" s="1" t="s">
        <v>4553</v>
      </c>
      <c r="B1896" t="s">
        <v>2220</v>
      </c>
    </row>
    <row r="1897" spans="1:2" x14ac:dyDescent="0.25">
      <c r="A1897" s="1" t="s">
        <v>4554</v>
      </c>
      <c r="B1897" t="s">
        <v>2221</v>
      </c>
    </row>
    <row r="1898" spans="1:2" x14ac:dyDescent="0.25">
      <c r="A1898" s="1" t="s">
        <v>4555</v>
      </c>
      <c r="B1898" t="s">
        <v>2222</v>
      </c>
    </row>
    <row r="1899" spans="1:2" x14ac:dyDescent="0.25">
      <c r="A1899" s="1" t="s">
        <v>4556</v>
      </c>
      <c r="B1899" t="s">
        <v>2223</v>
      </c>
    </row>
    <row r="1900" spans="1:2" x14ac:dyDescent="0.25">
      <c r="A1900" s="1" t="s">
        <v>4557</v>
      </c>
      <c r="B1900" t="s">
        <v>2224</v>
      </c>
    </row>
    <row r="1901" spans="1:2" x14ac:dyDescent="0.25">
      <c r="A1901" s="1" t="s">
        <v>4558</v>
      </c>
      <c r="B1901" t="s">
        <v>2225</v>
      </c>
    </row>
    <row r="1902" spans="1:2" x14ac:dyDescent="0.25">
      <c r="A1902" s="1" t="s">
        <v>4559</v>
      </c>
      <c r="B1902" t="s">
        <v>2226</v>
      </c>
    </row>
    <row r="1903" spans="1:2" x14ac:dyDescent="0.25">
      <c r="A1903" s="1" t="s">
        <v>4560</v>
      </c>
      <c r="B1903" t="s">
        <v>2227</v>
      </c>
    </row>
    <row r="1904" spans="1:2" x14ac:dyDescent="0.25">
      <c r="A1904" s="1" t="s">
        <v>4561</v>
      </c>
      <c r="B1904" t="s">
        <v>2228</v>
      </c>
    </row>
    <row r="1905" spans="1:2" x14ac:dyDescent="0.25">
      <c r="A1905" s="1" t="s">
        <v>4562</v>
      </c>
      <c r="B1905" t="s">
        <v>2229</v>
      </c>
    </row>
    <row r="1906" spans="1:2" x14ac:dyDescent="0.25">
      <c r="A1906" s="1" t="s">
        <v>4563</v>
      </c>
      <c r="B1906" t="s">
        <v>2231</v>
      </c>
    </row>
    <row r="1907" spans="1:2" x14ac:dyDescent="0.25">
      <c r="A1907" s="1" t="s">
        <v>4564</v>
      </c>
      <c r="B1907" t="s">
        <v>2233</v>
      </c>
    </row>
    <row r="1908" spans="1:2" x14ac:dyDescent="0.25">
      <c r="A1908" s="1" t="s">
        <v>4565</v>
      </c>
      <c r="B1908" t="s">
        <v>2234</v>
      </c>
    </row>
    <row r="1909" spans="1:2" x14ac:dyDescent="0.25">
      <c r="A1909" s="1" t="s">
        <v>4566</v>
      </c>
      <c r="B1909" t="s">
        <v>2236</v>
      </c>
    </row>
    <row r="1910" spans="1:2" x14ac:dyDescent="0.25">
      <c r="A1910" s="1" t="s">
        <v>4567</v>
      </c>
      <c r="B1910" t="s">
        <v>2237</v>
      </c>
    </row>
    <row r="1911" spans="1:2" x14ac:dyDescent="0.25">
      <c r="A1911" s="1" t="s">
        <v>4568</v>
      </c>
      <c r="B1911" t="s">
        <v>2238</v>
      </c>
    </row>
    <row r="1912" spans="1:2" x14ac:dyDescent="0.25">
      <c r="A1912" s="1" t="s">
        <v>4569</v>
      </c>
      <c r="B1912" t="s">
        <v>2239</v>
      </c>
    </row>
    <row r="1913" spans="1:2" x14ac:dyDescent="0.25">
      <c r="A1913" s="1" t="s">
        <v>4570</v>
      </c>
      <c r="B1913" t="s">
        <v>2241</v>
      </c>
    </row>
    <row r="1914" spans="1:2" x14ac:dyDescent="0.25">
      <c r="A1914" s="1" t="s">
        <v>4571</v>
      </c>
      <c r="B1914" t="s">
        <v>2243</v>
      </c>
    </row>
    <row r="1915" spans="1:2" x14ac:dyDescent="0.25">
      <c r="A1915" s="1" t="s">
        <v>4572</v>
      </c>
      <c r="B1915" t="s">
        <v>2244</v>
      </c>
    </row>
    <row r="1916" spans="1:2" x14ac:dyDescent="0.25">
      <c r="A1916" s="1" t="s">
        <v>4573</v>
      </c>
      <c r="B1916" t="s">
        <v>2245</v>
      </c>
    </row>
    <row r="1917" spans="1:2" x14ac:dyDescent="0.25">
      <c r="A1917" s="1" t="s">
        <v>4574</v>
      </c>
      <c r="B1917" t="s">
        <v>2246</v>
      </c>
    </row>
    <row r="1918" spans="1:2" x14ac:dyDescent="0.25">
      <c r="A1918" s="1" t="s">
        <v>4575</v>
      </c>
      <c r="B1918" t="s">
        <v>2247</v>
      </c>
    </row>
    <row r="1919" spans="1:2" x14ac:dyDescent="0.25">
      <c r="A1919" s="1" t="s">
        <v>4576</v>
      </c>
      <c r="B1919" t="s">
        <v>2248</v>
      </c>
    </row>
    <row r="1920" spans="1:2" x14ac:dyDescent="0.25">
      <c r="A1920" s="1" t="s">
        <v>4577</v>
      </c>
      <c r="B1920" t="s">
        <v>2249</v>
      </c>
    </row>
    <row r="1921" spans="1:2" x14ac:dyDescent="0.25">
      <c r="A1921" s="1" t="s">
        <v>4578</v>
      </c>
      <c r="B1921" t="s">
        <v>2250</v>
      </c>
    </row>
    <row r="1922" spans="1:2" x14ac:dyDescent="0.25">
      <c r="A1922" s="1" t="s">
        <v>4579</v>
      </c>
      <c r="B1922" t="s">
        <v>2251</v>
      </c>
    </row>
    <row r="1923" spans="1:2" x14ac:dyDescent="0.25">
      <c r="A1923" s="1" t="s">
        <v>4580</v>
      </c>
      <c r="B1923" t="s">
        <v>2252</v>
      </c>
    </row>
    <row r="1924" spans="1:2" x14ac:dyDescent="0.25">
      <c r="A1924" s="1" t="s">
        <v>4581</v>
      </c>
      <c r="B1924" t="s">
        <v>2253</v>
      </c>
    </row>
    <row r="1925" spans="1:2" x14ac:dyDescent="0.25">
      <c r="A1925" s="1" t="s">
        <v>4582</v>
      </c>
      <c r="B1925" t="s">
        <v>2254</v>
      </c>
    </row>
    <row r="1926" spans="1:2" x14ac:dyDescent="0.25">
      <c r="A1926" s="1" t="s">
        <v>4583</v>
      </c>
      <c r="B1926" t="s">
        <v>2255</v>
      </c>
    </row>
    <row r="1927" spans="1:2" x14ac:dyDescent="0.25">
      <c r="A1927" s="1" t="s">
        <v>4584</v>
      </c>
      <c r="B1927" t="s">
        <v>2256</v>
      </c>
    </row>
    <row r="1928" spans="1:2" x14ac:dyDescent="0.25">
      <c r="A1928" s="1" t="s">
        <v>4585</v>
      </c>
      <c r="B1928" t="s">
        <v>2257</v>
      </c>
    </row>
    <row r="1929" spans="1:2" x14ac:dyDescent="0.25">
      <c r="A1929" s="1" t="s">
        <v>4586</v>
      </c>
      <c r="B1929" t="s">
        <v>2258</v>
      </c>
    </row>
    <row r="1930" spans="1:2" x14ac:dyDescent="0.25">
      <c r="A1930" s="1" t="s">
        <v>4587</v>
      </c>
      <c r="B1930" t="s">
        <v>2259</v>
      </c>
    </row>
    <row r="1931" spans="1:2" x14ac:dyDescent="0.25">
      <c r="A1931" s="1" t="s">
        <v>4588</v>
      </c>
      <c r="B1931" t="s">
        <v>2261</v>
      </c>
    </row>
    <row r="1932" spans="1:2" x14ac:dyDescent="0.25">
      <c r="A1932" s="1" t="s">
        <v>4589</v>
      </c>
      <c r="B1932" t="s">
        <v>2262</v>
      </c>
    </row>
    <row r="1933" spans="1:2" x14ac:dyDescent="0.25">
      <c r="A1933" s="1" t="s">
        <v>4590</v>
      </c>
      <c r="B1933" t="s">
        <v>2263</v>
      </c>
    </row>
    <row r="1934" spans="1:2" x14ac:dyDescent="0.25">
      <c r="A1934" s="1" t="s">
        <v>4591</v>
      </c>
      <c r="B1934" t="s">
        <v>2264</v>
      </c>
    </row>
    <row r="1935" spans="1:2" x14ac:dyDescent="0.25">
      <c r="A1935" s="1" t="s">
        <v>4592</v>
      </c>
      <c r="B1935" t="s">
        <v>2265</v>
      </c>
    </row>
    <row r="1936" spans="1:2" x14ac:dyDescent="0.25">
      <c r="A1936" s="1" t="s">
        <v>4593</v>
      </c>
      <c r="B1936" t="s">
        <v>2266</v>
      </c>
    </row>
    <row r="1937" spans="1:2" x14ac:dyDescent="0.25">
      <c r="A1937" s="1" t="s">
        <v>4594</v>
      </c>
      <c r="B1937" t="s">
        <v>2267</v>
      </c>
    </row>
    <row r="1938" spans="1:2" x14ac:dyDescent="0.25">
      <c r="A1938" s="1" t="s">
        <v>4595</v>
      </c>
      <c r="B1938" t="s">
        <v>2268</v>
      </c>
    </row>
    <row r="1939" spans="1:2" x14ac:dyDescent="0.25">
      <c r="A1939" s="1" t="s">
        <v>4596</v>
      </c>
      <c r="B1939" t="s">
        <v>2270</v>
      </c>
    </row>
    <row r="1940" spans="1:2" x14ac:dyDescent="0.25">
      <c r="A1940" s="1" t="s">
        <v>4597</v>
      </c>
      <c r="B1940" t="s">
        <v>2271</v>
      </c>
    </row>
    <row r="1941" spans="1:2" x14ac:dyDescent="0.25">
      <c r="A1941" s="1" t="s">
        <v>4598</v>
      </c>
      <c r="B1941" t="s">
        <v>2273</v>
      </c>
    </row>
    <row r="1942" spans="1:2" x14ac:dyDescent="0.25">
      <c r="A1942" s="1" t="s">
        <v>4599</v>
      </c>
      <c r="B1942" t="s">
        <v>2275</v>
      </c>
    </row>
    <row r="1943" spans="1:2" x14ac:dyDescent="0.25">
      <c r="A1943" s="1" t="s">
        <v>4600</v>
      </c>
      <c r="B1943" t="s">
        <v>2277</v>
      </c>
    </row>
    <row r="1944" spans="1:2" x14ac:dyDescent="0.25">
      <c r="A1944" s="1" t="s">
        <v>4601</v>
      </c>
      <c r="B1944" t="s">
        <v>2279</v>
      </c>
    </row>
    <row r="1945" spans="1:2" x14ac:dyDescent="0.25">
      <c r="A1945" s="1" t="s">
        <v>4602</v>
      </c>
      <c r="B1945" t="s">
        <v>2281</v>
      </c>
    </row>
    <row r="1946" spans="1:2" x14ac:dyDescent="0.25">
      <c r="A1946" s="1" t="s">
        <v>4603</v>
      </c>
      <c r="B1946" t="s">
        <v>2283</v>
      </c>
    </row>
    <row r="1947" spans="1:2" x14ac:dyDescent="0.25">
      <c r="A1947" s="1" t="s">
        <v>4604</v>
      </c>
      <c r="B1947" t="s">
        <v>2285</v>
      </c>
    </row>
    <row r="1948" spans="1:2" x14ac:dyDescent="0.25">
      <c r="A1948" s="1" t="s">
        <v>4605</v>
      </c>
      <c r="B1948" t="s">
        <v>2287</v>
      </c>
    </row>
    <row r="1949" spans="1:2" x14ac:dyDescent="0.25">
      <c r="A1949" s="1" t="s">
        <v>4606</v>
      </c>
      <c r="B1949" t="s">
        <v>2289</v>
      </c>
    </row>
    <row r="1950" spans="1:2" x14ac:dyDescent="0.25">
      <c r="A1950" s="1" t="s">
        <v>4607</v>
      </c>
      <c r="B1950" t="s">
        <v>2291</v>
      </c>
    </row>
    <row r="1951" spans="1:2" x14ac:dyDescent="0.25">
      <c r="A1951" s="1" t="s">
        <v>4608</v>
      </c>
      <c r="B1951" t="s">
        <v>2293</v>
      </c>
    </row>
    <row r="1952" spans="1:2" x14ac:dyDescent="0.25">
      <c r="A1952" s="1" t="s">
        <v>4609</v>
      </c>
      <c r="B1952" t="s">
        <v>2295</v>
      </c>
    </row>
    <row r="1953" spans="1:2" x14ac:dyDescent="0.25">
      <c r="A1953" s="1" t="s">
        <v>4610</v>
      </c>
      <c r="B1953" t="s">
        <v>2297</v>
      </c>
    </row>
    <row r="1954" spans="1:2" x14ac:dyDescent="0.25">
      <c r="A1954" s="1" t="s">
        <v>4611</v>
      </c>
      <c r="B1954" t="s">
        <v>2299</v>
      </c>
    </row>
    <row r="1955" spans="1:2" x14ac:dyDescent="0.25">
      <c r="A1955" s="1" t="s">
        <v>4612</v>
      </c>
      <c r="B1955" t="s">
        <v>2301</v>
      </c>
    </row>
    <row r="1956" spans="1:2" x14ac:dyDescent="0.25">
      <c r="A1956" s="1" t="s">
        <v>4613</v>
      </c>
      <c r="B1956" t="s">
        <v>2303</v>
      </c>
    </row>
    <row r="1957" spans="1:2" x14ac:dyDescent="0.25">
      <c r="A1957" s="1" t="s">
        <v>4614</v>
      </c>
      <c r="B1957" t="s">
        <v>2304</v>
      </c>
    </row>
    <row r="1958" spans="1:2" x14ac:dyDescent="0.25">
      <c r="A1958" s="1" t="s">
        <v>4615</v>
      </c>
      <c r="B1958" t="s">
        <v>2306</v>
      </c>
    </row>
    <row r="1959" spans="1:2" x14ac:dyDescent="0.25">
      <c r="A1959" s="1" t="s">
        <v>4616</v>
      </c>
      <c r="B1959" t="s">
        <v>2308</v>
      </c>
    </row>
    <row r="1960" spans="1:2" x14ac:dyDescent="0.25">
      <c r="A1960" s="1" t="s">
        <v>4617</v>
      </c>
      <c r="B1960" t="s">
        <v>2310</v>
      </c>
    </row>
    <row r="1961" spans="1:2" x14ac:dyDescent="0.25">
      <c r="A1961" s="1" t="s">
        <v>4618</v>
      </c>
      <c r="B1961" t="s">
        <v>2312</v>
      </c>
    </row>
    <row r="1962" spans="1:2" x14ac:dyDescent="0.25">
      <c r="A1962" s="1" t="s">
        <v>4619</v>
      </c>
      <c r="B1962" t="s">
        <v>2314</v>
      </c>
    </row>
    <row r="1963" spans="1:2" x14ac:dyDescent="0.25">
      <c r="A1963" s="1" t="s">
        <v>4620</v>
      </c>
      <c r="B1963" t="s">
        <v>2316</v>
      </c>
    </row>
    <row r="1964" spans="1:2" x14ac:dyDescent="0.25">
      <c r="A1964" s="1" t="s">
        <v>4621</v>
      </c>
      <c r="B1964" t="s">
        <v>2318</v>
      </c>
    </row>
    <row r="1965" spans="1:2" x14ac:dyDescent="0.25">
      <c r="A1965" s="1" t="s">
        <v>4622</v>
      </c>
      <c r="B1965" t="s">
        <v>2320</v>
      </c>
    </row>
    <row r="1966" spans="1:2" x14ac:dyDescent="0.25">
      <c r="A1966" s="1" t="s">
        <v>4623</v>
      </c>
      <c r="B1966" t="s">
        <v>2322</v>
      </c>
    </row>
    <row r="1967" spans="1:2" x14ac:dyDescent="0.25">
      <c r="A1967" s="1" t="s">
        <v>4624</v>
      </c>
      <c r="B1967" t="s">
        <v>2324</v>
      </c>
    </row>
    <row r="1968" spans="1:2" x14ac:dyDescent="0.25">
      <c r="A1968" s="1" t="s">
        <v>4625</v>
      </c>
      <c r="B1968" t="s">
        <v>2326</v>
      </c>
    </row>
    <row r="1969" spans="1:2" x14ac:dyDescent="0.25">
      <c r="A1969" s="1" t="s">
        <v>4626</v>
      </c>
      <c r="B1969" t="s">
        <v>2328</v>
      </c>
    </row>
    <row r="1970" spans="1:2" x14ac:dyDescent="0.25">
      <c r="A1970" s="1" t="s">
        <v>4627</v>
      </c>
      <c r="B1970" t="s">
        <v>2330</v>
      </c>
    </row>
    <row r="1971" spans="1:2" x14ac:dyDescent="0.25">
      <c r="A1971" s="1" t="s">
        <v>4628</v>
      </c>
      <c r="B1971" t="s">
        <v>2332</v>
      </c>
    </row>
    <row r="1972" spans="1:2" x14ac:dyDescent="0.25">
      <c r="A1972" s="1" t="s">
        <v>4629</v>
      </c>
      <c r="B1972" t="s">
        <v>2334</v>
      </c>
    </row>
    <row r="1973" spans="1:2" x14ac:dyDescent="0.25">
      <c r="A1973" s="1" t="s">
        <v>4630</v>
      </c>
      <c r="B1973" t="s">
        <v>2335</v>
      </c>
    </row>
    <row r="1974" spans="1:2" x14ac:dyDescent="0.25">
      <c r="A1974" s="1" t="s">
        <v>4631</v>
      </c>
      <c r="B1974" t="s">
        <v>2337</v>
      </c>
    </row>
    <row r="1975" spans="1:2" x14ac:dyDescent="0.25">
      <c r="A1975" s="1" t="s">
        <v>4632</v>
      </c>
      <c r="B1975" t="s">
        <v>2338</v>
      </c>
    </row>
    <row r="1976" spans="1:2" x14ac:dyDescent="0.25">
      <c r="A1976" s="1" t="s">
        <v>4633</v>
      </c>
      <c r="B1976" t="s">
        <v>2340</v>
      </c>
    </row>
    <row r="1977" spans="1:2" x14ac:dyDescent="0.25">
      <c r="A1977" s="1" t="s">
        <v>4634</v>
      </c>
      <c r="B1977" t="s">
        <v>2342</v>
      </c>
    </row>
    <row r="1978" spans="1:2" x14ac:dyDescent="0.25">
      <c r="A1978" s="1" t="s">
        <v>4635</v>
      </c>
      <c r="B1978" t="s">
        <v>2344</v>
      </c>
    </row>
    <row r="1979" spans="1:2" x14ac:dyDescent="0.25">
      <c r="A1979" s="1" t="s">
        <v>4636</v>
      </c>
      <c r="B1979" t="s">
        <v>2346</v>
      </c>
    </row>
    <row r="1980" spans="1:2" x14ac:dyDescent="0.25">
      <c r="A1980" s="1" t="s">
        <v>4637</v>
      </c>
      <c r="B1980" t="s">
        <v>2348</v>
      </c>
    </row>
    <row r="1981" spans="1:2" x14ac:dyDescent="0.25">
      <c r="A1981" s="1" t="s">
        <v>4638</v>
      </c>
      <c r="B1981" t="s">
        <v>2350</v>
      </c>
    </row>
    <row r="1982" spans="1:2" x14ac:dyDescent="0.25">
      <c r="A1982" s="1" t="s">
        <v>4639</v>
      </c>
      <c r="B1982" t="s">
        <v>2352</v>
      </c>
    </row>
    <row r="1983" spans="1:2" x14ac:dyDescent="0.25">
      <c r="A1983" s="1" t="s">
        <v>4640</v>
      </c>
      <c r="B1983" t="s">
        <v>2354</v>
      </c>
    </row>
    <row r="1984" spans="1:2" x14ac:dyDescent="0.25">
      <c r="A1984" s="1" t="s">
        <v>4641</v>
      </c>
      <c r="B1984" t="s">
        <v>2356</v>
      </c>
    </row>
    <row r="1985" spans="1:2" x14ac:dyDescent="0.25">
      <c r="A1985" s="1" t="s">
        <v>4642</v>
      </c>
      <c r="B1985" t="s">
        <v>2358</v>
      </c>
    </row>
    <row r="1986" spans="1:2" x14ac:dyDescent="0.25">
      <c r="A1986" s="1" t="s">
        <v>4643</v>
      </c>
      <c r="B1986" t="s">
        <v>2360</v>
      </c>
    </row>
    <row r="1987" spans="1:2" x14ac:dyDescent="0.25">
      <c r="A1987" s="1" t="s">
        <v>4644</v>
      </c>
      <c r="B1987" t="s">
        <v>2362</v>
      </c>
    </row>
    <row r="1988" spans="1:2" x14ac:dyDescent="0.25">
      <c r="A1988" s="1" t="s">
        <v>4645</v>
      </c>
      <c r="B1988" t="s">
        <v>2364</v>
      </c>
    </row>
    <row r="1989" spans="1:2" x14ac:dyDescent="0.25">
      <c r="A1989" s="1" t="s">
        <v>4646</v>
      </c>
      <c r="B1989" t="s">
        <v>2366</v>
      </c>
    </row>
    <row r="1990" spans="1:2" x14ac:dyDescent="0.25">
      <c r="A1990" s="1" t="s">
        <v>4647</v>
      </c>
      <c r="B1990" t="s">
        <v>2368</v>
      </c>
    </row>
    <row r="1991" spans="1:2" x14ac:dyDescent="0.25">
      <c r="A1991" s="1" t="s">
        <v>4648</v>
      </c>
      <c r="B1991" t="s">
        <v>2370</v>
      </c>
    </row>
    <row r="1992" spans="1:2" x14ac:dyDescent="0.25">
      <c r="A1992" s="1" t="s">
        <v>4649</v>
      </c>
      <c r="B1992" t="s">
        <v>2372</v>
      </c>
    </row>
    <row r="1993" spans="1:2" x14ac:dyDescent="0.25">
      <c r="A1993" s="1" t="s">
        <v>4650</v>
      </c>
      <c r="B1993" t="s">
        <v>2374</v>
      </c>
    </row>
    <row r="1994" spans="1:2" x14ac:dyDescent="0.25">
      <c r="A1994" s="1" t="s">
        <v>4651</v>
      </c>
      <c r="B1994" t="s">
        <v>2376</v>
      </c>
    </row>
    <row r="1995" spans="1:2" x14ac:dyDescent="0.25">
      <c r="A1995" s="1" t="s">
        <v>4652</v>
      </c>
      <c r="B1995" t="s">
        <v>2378</v>
      </c>
    </row>
    <row r="1996" spans="1:2" x14ac:dyDescent="0.25">
      <c r="A1996" s="1" t="s">
        <v>4653</v>
      </c>
      <c r="B1996" t="s">
        <v>2380</v>
      </c>
    </row>
    <row r="1997" spans="1:2" x14ac:dyDescent="0.25">
      <c r="A1997" s="1" t="s">
        <v>4654</v>
      </c>
      <c r="B1997" t="s">
        <v>2382</v>
      </c>
    </row>
    <row r="1998" spans="1:2" x14ac:dyDescent="0.25">
      <c r="A1998" s="1" t="s">
        <v>4655</v>
      </c>
      <c r="B1998" t="s">
        <v>2384</v>
      </c>
    </row>
    <row r="1999" spans="1:2" x14ac:dyDescent="0.25">
      <c r="A1999" s="1" t="s">
        <v>4656</v>
      </c>
      <c r="B1999" t="s">
        <v>2386</v>
      </c>
    </row>
    <row r="2000" spans="1:2" x14ac:dyDescent="0.25">
      <c r="A2000" s="1" t="s">
        <v>4657</v>
      </c>
      <c r="B2000" t="s">
        <v>2388</v>
      </c>
    </row>
    <row r="2001" spans="1:2" x14ac:dyDescent="0.25">
      <c r="A2001" s="1" t="s">
        <v>4658</v>
      </c>
      <c r="B2001" t="s">
        <v>2390</v>
      </c>
    </row>
    <row r="2002" spans="1:2" x14ac:dyDescent="0.25">
      <c r="A2002" s="1" t="s">
        <v>4659</v>
      </c>
      <c r="B2002" t="s">
        <v>2392</v>
      </c>
    </row>
    <row r="2003" spans="1:2" x14ac:dyDescent="0.25">
      <c r="A2003" s="1" t="s">
        <v>4660</v>
      </c>
      <c r="B2003" t="s">
        <v>2394</v>
      </c>
    </row>
    <row r="2004" spans="1:2" x14ac:dyDescent="0.25">
      <c r="A2004" s="1" t="s">
        <v>4661</v>
      </c>
      <c r="B2004" t="s">
        <v>2396</v>
      </c>
    </row>
    <row r="2005" spans="1:2" x14ac:dyDescent="0.25">
      <c r="A2005" s="1" t="s">
        <v>4662</v>
      </c>
      <c r="B2005" t="s">
        <v>2398</v>
      </c>
    </row>
    <row r="2006" spans="1:2" x14ac:dyDescent="0.25">
      <c r="A2006" s="1" t="s">
        <v>4663</v>
      </c>
      <c r="B2006" t="s">
        <v>2400</v>
      </c>
    </row>
    <row r="2007" spans="1:2" x14ac:dyDescent="0.25">
      <c r="A2007" s="1" t="s">
        <v>4664</v>
      </c>
      <c r="B2007" t="s">
        <v>2402</v>
      </c>
    </row>
    <row r="2008" spans="1:2" x14ac:dyDescent="0.25">
      <c r="A2008" s="1" t="s">
        <v>4665</v>
      </c>
      <c r="B2008" t="s">
        <v>2404</v>
      </c>
    </row>
    <row r="2009" spans="1:2" x14ac:dyDescent="0.25">
      <c r="A2009" s="1" t="s">
        <v>4666</v>
      </c>
      <c r="B2009" t="s">
        <v>2406</v>
      </c>
    </row>
    <row r="2010" spans="1:2" x14ac:dyDescent="0.25">
      <c r="A2010" s="1" t="s">
        <v>4667</v>
      </c>
      <c r="B2010" t="s">
        <v>2408</v>
      </c>
    </row>
    <row r="2011" spans="1:2" x14ac:dyDescent="0.25">
      <c r="A2011" s="1" t="s">
        <v>4668</v>
      </c>
      <c r="B2011" t="s">
        <v>2410</v>
      </c>
    </row>
    <row r="2012" spans="1:2" x14ac:dyDescent="0.25">
      <c r="A2012" s="1" t="s">
        <v>4669</v>
      </c>
      <c r="B2012" t="s">
        <v>2412</v>
      </c>
    </row>
    <row r="2013" spans="1:2" x14ac:dyDescent="0.25">
      <c r="A2013" s="1" t="s">
        <v>4670</v>
      </c>
      <c r="B2013" t="s">
        <v>2414</v>
      </c>
    </row>
    <row r="2014" spans="1:2" x14ac:dyDescent="0.25">
      <c r="A2014" s="1" t="s">
        <v>4671</v>
      </c>
      <c r="B2014" t="s">
        <v>2416</v>
      </c>
    </row>
    <row r="2015" spans="1:2" x14ac:dyDescent="0.25">
      <c r="A2015" s="1" t="s">
        <v>4672</v>
      </c>
      <c r="B2015" t="s">
        <v>2418</v>
      </c>
    </row>
    <row r="2016" spans="1:2" x14ac:dyDescent="0.25">
      <c r="A2016" s="1" t="s">
        <v>4673</v>
      </c>
      <c r="B2016" t="s">
        <v>2420</v>
      </c>
    </row>
    <row r="2017" spans="1:2" x14ac:dyDescent="0.25">
      <c r="A2017" s="1" t="s">
        <v>4674</v>
      </c>
      <c r="B2017" t="s">
        <v>2422</v>
      </c>
    </row>
    <row r="2018" spans="1:2" x14ac:dyDescent="0.25">
      <c r="A2018" s="1" t="s">
        <v>4675</v>
      </c>
      <c r="B2018" t="s">
        <v>2424</v>
      </c>
    </row>
    <row r="2019" spans="1:2" x14ac:dyDescent="0.25">
      <c r="A2019" s="1" t="s">
        <v>4676</v>
      </c>
      <c r="B2019" t="s">
        <v>2426</v>
      </c>
    </row>
    <row r="2020" spans="1:2" x14ac:dyDescent="0.25">
      <c r="A2020" s="1" t="s">
        <v>4677</v>
      </c>
      <c r="B2020" t="s">
        <v>2428</v>
      </c>
    </row>
    <row r="2021" spans="1:2" x14ac:dyDescent="0.25">
      <c r="A2021" s="1" t="s">
        <v>4678</v>
      </c>
      <c r="B2021" t="s">
        <v>2430</v>
      </c>
    </row>
    <row r="2022" spans="1:2" x14ac:dyDescent="0.25">
      <c r="A2022" s="1" t="s">
        <v>4679</v>
      </c>
      <c r="B2022" t="s">
        <v>2431</v>
      </c>
    </row>
    <row r="2023" spans="1:2" x14ac:dyDescent="0.25">
      <c r="A2023" s="1" t="s">
        <v>4680</v>
      </c>
      <c r="B2023" t="s">
        <v>2433</v>
      </c>
    </row>
    <row r="2024" spans="1:2" x14ac:dyDescent="0.25">
      <c r="A2024" s="1" t="s">
        <v>4681</v>
      </c>
      <c r="B2024" t="s">
        <v>2435</v>
      </c>
    </row>
    <row r="2025" spans="1:2" x14ac:dyDescent="0.25">
      <c r="A2025" s="1" t="s">
        <v>4682</v>
      </c>
      <c r="B2025" t="s">
        <v>2437</v>
      </c>
    </row>
    <row r="2026" spans="1:2" x14ac:dyDescent="0.25">
      <c r="A2026" s="1" t="s">
        <v>4683</v>
      </c>
      <c r="B2026" t="s">
        <v>2439</v>
      </c>
    </row>
    <row r="2027" spans="1:2" x14ac:dyDescent="0.25">
      <c r="A2027" s="1" t="s">
        <v>4684</v>
      </c>
      <c r="B2027" t="s">
        <v>2442</v>
      </c>
    </row>
    <row r="2028" spans="1:2" x14ac:dyDescent="0.25">
      <c r="A2028" s="1" t="s">
        <v>4685</v>
      </c>
      <c r="B2028" t="s">
        <v>2444</v>
      </c>
    </row>
    <row r="2029" spans="1:2" x14ac:dyDescent="0.25">
      <c r="A2029" s="1" t="s">
        <v>4686</v>
      </c>
      <c r="B2029" t="s">
        <v>2446</v>
      </c>
    </row>
    <row r="2030" spans="1:2" x14ac:dyDescent="0.25">
      <c r="A2030" s="1" t="s">
        <v>4687</v>
      </c>
      <c r="B2030" t="s">
        <v>2447</v>
      </c>
    </row>
    <row r="2031" spans="1:2" x14ac:dyDescent="0.25">
      <c r="A2031" s="1" t="s">
        <v>4688</v>
      </c>
      <c r="B2031" t="s">
        <v>2448</v>
      </c>
    </row>
    <row r="2032" spans="1:2" x14ac:dyDescent="0.25">
      <c r="A2032" s="1" t="s">
        <v>4689</v>
      </c>
      <c r="B2032" t="s">
        <v>2449</v>
      </c>
    </row>
    <row r="2033" spans="1:2" x14ac:dyDescent="0.25">
      <c r="A2033" s="1" t="s">
        <v>4690</v>
      </c>
      <c r="B2033" t="s">
        <v>2450</v>
      </c>
    </row>
    <row r="2034" spans="1:2" x14ac:dyDescent="0.25">
      <c r="A2034" s="1" t="s">
        <v>4691</v>
      </c>
      <c r="B2034" t="s">
        <v>2451</v>
      </c>
    </row>
    <row r="2035" spans="1:2" x14ac:dyDescent="0.25">
      <c r="A2035" s="1" t="s">
        <v>4692</v>
      </c>
      <c r="B2035" t="s">
        <v>2452</v>
      </c>
    </row>
    <row r="2036" spans="1:2" x14ac:dyDescent="0.25">
      <c r="A2036" s="1" t="s">
        <v>4693</v>
      </c>
      <c r="B2036" t="s">
        <v>2453</v>
      </c>
    </row>
    <row r="2037" spans="1:2" x14ac:dyDescent="0.25">
      <c r="A2037" s="1" t="s">
        <v>4694</v>
      </c>
      <c r="B2037" t="s">
        <v>2454</v>
      </c>
    </row>
    <row r="2038" spans="1:2" x14ac:dyDescent="0.25">
      <c r="A2038" s="1" t="s">
        <v>4695</v>
      </c>
      <c r="B2038" t="s">
        <v>2455</v>
      </c>
    </row>
    <row r="2039" spans="1:2" x14ac:dyDescent="0.25">
      <c r="A2039" s="1" t="s">
        <v>4696</v>
      </c>
      <c r="B2039" t="s">
        <v>2456</v>
      </c>
    </row>
    <row r="2040" spans="1:2" x14ac:dyDescent="0.25">
      <c r="A2040" s="1" t="s">
        <v>4697</v>
      </c>
      <c r="B2040" t="s">
        <v>2457</v>
      </c>
    </row>
    <row r="2041" spans="1:2" x14ac:dyDescent="0.25">
      <c r="A2041" s="1" t="s">
        <v>4698</v>
      </c>
      <c r="B2041" t="s">
        <v>2458</v>
      </c>
    </row>
    <row r="2042" spans="1:2" x14ac:dyDescent="0.25">
      <c r="A2042" s="1" t="s">
        <v>4699</v>
      </c>
      <c r="B2042" t="s">
        <v>2459</v>
      </c>
    </row>
    <row r="2043" spans="1:2" x14ac:dyDescent="0.25">
      <c r="A2043" s="1" t="s">
        <v>4700</v>
      </c>
      <c r="B2043" t="s">
        <v>2460</v>
      </c>
    </row>
    <row r="2044" spans="1:2" x14ac:dyDescent="0.25">
      <c r="A2044" s="1" t="s">
        <v>4701</v>
      </c>
      <c r="B2044" t="s">
        <v>2461</v>
      </c>
    </row>
    <row r="2045" spans="1:2" x14ac:dyDescent="0.25">
      <c r="A2045" s="1" t="s">
        <v>4702</v>
      </c>
      <c r="B2045" t="s">
        <v>2462</v>
      </c>
    </row>
    <row r="2046" spans="1:2" x14ac:dyDescent="0.25">
      <c r="A2046" s="1" t="s">
        <v>4703</v>
      </c>
      <c r="B2046" t="s">
        <v>2463</v>
      </c>
    </row>
    <row r="2047" spans="1:2" x14ac:dyDescent="0.25">
      <c r="A2047" s="1" t="s">
        <v>4704</v>
      </c>
      <c r="B2047" t="s">
        <v>2464</v>
      </c>
    </row>
    <row r="2048" spans="1:2" x14ac:dyDescent="0.25">
      <c r="A2048" s="1" t="s">
        <v>4705</v>
      </c>
      <c r="B2048" t="s">
        <v>2465</v>
      </c>
    </row>
    <row r="2049" spans="1:2" x14ac:dyDescent="0.25">
      <c r="A2049" s="1" t="s">
        <v>4706</v>
      </c>
      <c r="B2049" t="s">
        <v>2466</v>
      </c>
    </row>
    <row r="2050" spans="1:2" x14ac:dyDescent="0.25">
      <c r="A2050" s="1" t="s">
        <v>4707</v>
      </c>
      <c r="B2050" t="s">
        <v>2467</v>
      </c>
    </row>
    <row r="2051" spans="1:2" x14ac:dyDescent="0.25">
      <c r="A2051" s="1" t="s">
        <v>4708</v>
      </c>
      <c r="B2051" t="s">
        <v>2468</v>
      </c>
    </row>
    <row r="2052" spans="1:2" x14ac:dyDescent="0.25">
      <c r="A2052" s="1" t="s">
        <v>4709</v>
      </c>
      <c r="B2052" t="s">
        <v>2469</v>
      </c>
    </row>
    <row r="2053" spans="1:2" x14ac:dyDescent="0.25">
      <c r="A2053" s="1" t="s">
        <v>4710</v>
      </c>
      <c r="B2053" t="s">
        <v>2470</v>
      </c>
    </row>
    <row r="2054" spans="1:2" x14ac:dyDescent="0.25">
      <c r="A2054" s="1" t="s">
        <v>4711</v>
      </c>
      <c r="B2054" t="s">
        <v>2471</v>
      </c>
    </row>
    <row r="2055" spans="1:2" x14ac:dyDescent="0.25">
      <c r="A2055" s="1" t="s">
        <v>4712</v>
      </c>
      <c r="B2055" t="s">
        <v>2472</v>
      </c>
    </row>
    <row r="2056" spans="1:2" x14ac:dyDescent="0.25">
      <c r="A2056" s="1" t="s">
        <v>4713</v>
      </c>
      <c r="B2056" t="s">
        <v>2473</v>
      </c>
    </row>
    <row r="2057" spans="1:2" x14ac:dyDescent="0.25">
      <c r="A2057" s="1" t="s">
        <v>4714</v>
      </c>
      <c r="B2057" t="s">
        <v>2474</v>
      </c>
    </row>
    <row r="2058" spans="1:2" x14ac:dyDescent="0.25">
      <c r="A2058" s="1" t="s">
        <v>4715</v>
      </c>
      <c r="B2058" t="s">
        <v>2475</v>
      </c>
    </row>
    <row r="2059" spans="1:2" x14ac:dyDescent="0.25">
      <c r="A2059" s="1" t="s">
        <v>4716</v>
      </c>
      <c r="B2059" t="s">
        <v>2476</v>
      </c>
    </row>
    <row r="2060" spans="1:2" x14ac:dyDescent="0.25">
      <c r="A2060" s="1" t="s">
        <v>4717</v>
      </c>
      <c r="B2060" t="s">
        <v>2477</v>
      </c>
    </row>
    <row r="2061" spans="1:2" x14ac:dyDescent="0.25">
      <c r="A2061" s="1" t="s">
        <v>4718</v>
      </c>
      <c r="B2061" t="s">
        <v>2478</v>
      </c>
    </row>
    <row r="2062" spans="1:2" x14ac:dyDescent="0.25">
      <c r="A2062" s="1" t="s">
        <v>4719</v>
      </c>
      <c r="B2062" t="s">
        <v>2479</v>
      </c>
    </row>
    <row r="2063" spans="1:2" x14ac:dyDescent="0.25">
      <c r="A2063" s="1" t="s">
        <v>4720</v>
      </c>
      <c r="B2063" t="s">
        <v>2480</v>
      </c>
    </row>
    <row r="2064" spans="1:2" x14ac:dyDescent="0.25">
      <c r="A2064" s="1" t="s">
        <v>4721</v>
      </c>
      <c r="B2064" t="s">
        <v>2481</v>
      </c>
    </row>
    <row r="2065" spans="1:2" x14ac:dyDescent="0.25">
      <c r="A2065" s="1" t="s">
        <v>4722</v>
      </c>
      <c r="B2065" t="s">
        <v>2482</v>
      </c>
    </row>
    <row r="2066" spans="1:2" x14ac:dyDescent="0.25">
      <c r="A2066" s="1" t="s">
        <v>4723</v>
      </c>
      <c r="B2066" t="s">
        <v>2483</v>
      </c>
    </row>
    <row r="2067" spans="1:2" x14ac:dyDescent="0.25">
      <c r="A2067" s="1" t="s">
        <v>4724</v>
      </c>
      <c r="B2067" t="s">
        <v>2484</v>
      </c>
    </row>
    <row r="2068" spans="1:2" x14ac:dyDescent="0.25">
      <c r="A2068" s="1" t="s">
        <v>4725</v>
      </c>
      <c r="B2068" t="s">
        <v>2485</v>
      </c>
    </row>
    <row r="2069" spans="1:2" x14ac:dyDescent="0.25">
      <c r="A2069" s="1" t="s">
        <v>4726</v>
      </c>
      <c r="B2069" t="s">
        <v>2486</v>
      </c>
    </row>
    <row r="2070" spans="1:2" x14ac:dyDescent="0.25">
      <c r="A2070" s="1" t="s">
        <v>4727</v>
      </c>
      <c r="B2070" t="s">
        <v>2487</v>
      </c>
    </row>
    <row r="2071" spans="1:2" x14ac:dyDescent="0.25">
      <c r="A2071" s="1" t="s">
        <v>4728</v>
      </c>
      <c r="B2071" t="s">
        <v>2488</v>
      </c>
    </row>
    <row r="2072" spans="1:2" x14ac:dyDescent="0.25">
      <c r="A2072" s="1" t="s">
        <v>4729</v>
      </c>
      <c r="B2072" t="s">
        <v>2489</v>
      </c>
    </row>
    <row r="2073" spans="1:2" x14ac:dyDescent="0.25">
      <c r="A2073" s="1" t="s">
        <v>4730</v>
      </c>
      <c r="B2073" t="s">
        <v>2490</v>
      </c>
    </row>
    <row r="2074" spans="1:2" x14ac:dyDescent="0.25">
      <c r="A2074" s="1" t="s">
        <v>4731</v>
      </c>
      <c r="B2074" t="s">
        <v>2491</v>
      </c>
    </row>
    <row r="2075" spans="1:2" x14ac:dyDescent="0.25">
      <c r="A2075" s="1" t="s">
        <v>4732</v>
      </c>
      <c r="B2075" t="s">
        <v>2492</v>
      </c>
    </row>
    <row r="2076" spans="1:2" x14ac:dyDescent="0.25">
      <c r="A2076" s="1" t="s">
        <v>4733</v>
      </c>
      <c r="B2076" t="s">
        <v>2493</v>
      </c>
    </row>
    <row r="2077" spans="1:2" x14ac:dyDescent="0.25">
      <c r="A2077" s="1" t="s">
        <v>4734</v>
      </c>
      <c r="B2077" t="s">
        <v>2494</v>
      </c>
    </row>
    <row r="2078" spans="1:2" x14ac:dyDescent="0.25">
      <c r="A2078" s="1" t="s">
        <v>4735</v>
      </c>
      <c r="B2078" t="s">
        <v>2495</v>
      </c>
    </row>
    <row r="2079" spans="1:2" x14ac:dyDescent="0.25">
      <c r="A2079" s="1" t="s">
        <v>4736</v>
      </c>
      <c r="B2079" t="s">
        <v>2496</v>
      </c>
    </row>
    <row r="2080" spans="1:2" x14ac:dyDescent="0.25">
      <c r="A2080" s="1" t="s">
        <v>4737</v>
      </c>
      <c r="B2080" t="s">
        <v>2497</v>
      </c>
    </row>
    <row r="2081" spans="1:2" x14ac:dyDescent="0.25">
      <c r="A2081" s="1" t="s">
        <v>4738</v>
      </c>
      <c r="B2081" t="s">
        <v>2499</v>
      </c>
    </row>
    <row r="2082" spans="1:2" x14ac:dyDescent="0.25">
      <c r="A2082" s="1" t="s">
        <v>4739</v>
      </c>
      <c r="B2082" t="s">
        <v>2500</v>
      </c>
    </row>
    <row r="2083" spans="1:2" x14ac:dyDescent="0.25">
      <c r="A2083" s="1" t="s">
        <v>4740</v>
      </c>
      <c r="B2083" t="s">
        <v>2501</v>
      </c>
    </row>
    <row r="2084" spans="1:2" x14ac:dyDescent="0.25">
      <c r="A2084" s="1" t="s">
        <v>4741</v>
      </c>
      <c r="B2084" t="s">
        <v>2502</v>
      </c>
    </row>
    <row r="2085" spans="1:2" x14ac:dyDescent="0.25">
      <c r="A2085" s="1" t="s">
        <v>4742</v>
      </c>
      <c r="B2085" t="s">
        <v>2503</v>
      </c>
    </row>
    <row r="2086" spans="1:2" x14ac:dyDescent="0.25">
      <c r="A2086" s="1" t="s">
        <v>4743</v>
      </c>
      <c r="B2086" t="s">
        <v>2504</v>
      </c>
    </row>
    <row r="2087" spans="1:2" x14ac:dyDescent="0.25">
      <c r="A2087" s="1" t="s">
        <v>4744</v>
      </c>
      <c r="B2087" t="s">
        <v>2505</v>
      </c>
    </row>
    <row r="2088" spans="1:2" x14ac:dyDescent="0.25">
      <c r="A2088" s="1" t="s">
        <v>4745</v>
      </c>
      <c r="B2088" t="s">
        <v>2506</v>
      </c>
    </row>
    <row r="2089" spans="1:2" x14ac:dyDescent="0.25">
      <c r="A2089" s="1" t="s">
        <v>4746</v>
      </c>
      <c r="B2089" t="s">
        <v>2507</v>
      </c>
    </row>
    <row r="2090" spans="1:2" x14ac:dyDescent="0.25">
      <c r="A2090" s="1" t="s">
        <v>4747</v>
      </c>
      <c r="B2090" t="s">
        <v>2508</v>
      </c>
    </row>
    <row r="2091" spans="1:2" x14ac:dyDescent="0.25">
      <c r="A2091" s="1" t="s">
        <v>4748</v>
      </c>
      <c r="B2091" t="s">
        <v>2509</v>
      </c>
    </row>
    <row r="2092" spans="1:2" x14ac:dyDescent="0.25">
      <c r="A2092" s="1" t="s">
        <v>4749</v>
      </c>
      <c r="B2092" t="s">
        <v>2510</v>
      </c>
    </row>
    <row r="2093" spans="1:2" x14ac:dyDescent="0.25">
      <c r="A2093" s="1" t="s">
        <v>4750</v>
      </c>
      <c r="B2093" t="s">
        <v>2511</v>
      </c>
    </row>
    <row r="2094" spans="1:2" x14ac:dyDescent="0.25">
      <c r="A2094" s="1" t="s">
        <v>4751</v>
      </c>
      <c r="B2094" t="s">
        <v>2512</v>
      </c>
    </row>
    <row r="2095" spans="1:2" x14ac:dyDescent="0.25">
      <c r="A2095" s="1" t="s">
        <v>4752</v>
      </c>
      <c r="B2095" t="s">
        <v>2513</v>
      </c>
    </row>
    <row r="2096" spans="1:2" x14ac:dyDescent="0.25">
      <c r="A2096" s="1" t="s">
        <v>4753</v>
      </c>
      <c r="B2096" t="s">
        <v>2514</v>
      </c>
    </row>
    <row r="2097" spans="1:2" x14ac:dyDescent="0.25">
      <c r="A2097" s="1" t="s">
        <v>4754</v>
      </c>
      <c r="B2097" t="s">
        <v>2515</v>
      </c>
    </row>
    <row r="2098" spans="1:2" x14ac:dyDescent="0.25">
      <c r="A2098" s="1" t="s">
        <v>4755</v>
      </c>
      <c r="B2098" t="s">
        <v>2516</v>
      </c>
    </row>
    <row r="2099" spans="1:2" x14ac:dyDescent="0.25">
      <c r="A2099" s="1" t="s">
        <v>4756</v>
      </c>
      <c r="B2099" t="s">
        <v>2517</v>
      </c>
    </row>
    <row r="2100" spans="1:2" x14ac:dyDescent="0.25">
      <c r="A2100" s="1" t="s">
        <v>4757</v>
      </c>
      <c r="B2100" t="s">
        <v>2518</v>
      </c>
    </row>
    <row r="2101" spans="1:2" x14ac:dyDescent="0.25">
      <c r="A2101" s="1" t="s">
        <v>4758</v>
      </c>
      <c r="B2101" t="s">
        <v>2519</v>
      </c>
    </row>
    <row r="2102" spans="1:2" x14ac:dyDescent="0.25">
      <c r="A2102" s="1" t="s">
        <v>4759</v>
      </c>
      <c r="B2102" t="s">
        <v>2520</v>
      </c>
    </row>
    <row r="2103" spans="1:2" x14ac:dyDescent="0.25">
      <c r="A2103" s="1" t="s">
        <v>4760</v>
      </c>
      <c r="B2103" t="s">
        <v>2521</v>
      </c>
    </row>
    <row r="2104" spans="1:2" x14ac:dyDescent="0.25">
      <c r="A2104" s="1" t="s">
        <v>4761</v>
      </c>
      <c r="B2104" t="s">
        <v>2522</v>
      </c>
    </row>
    <row r="2105" spans="1:2" x14ac:dyDescent="0.25">
      <c r="A2105" s="1" t="s">
        <v>4762</v>
      </c>
      <c r="B2105" t="s">
        <v>2523</v>
      </c>
    </row>
    <row r="2106" spans="1:2" x14ac:dyDescent="0.25">
      <c r="A2106" s="1" t="s">
        <v>4763</v>
      </c>
      <c r="B2106" t="s">
        <v>2524</v>
      </c>
    </row>
    <row r="2107" spans="1:2" x14ac:dyDescent="0.25">
      <c r="A2107" s="1" t="s">
        <v>4764</v>
      </c>
      <c r="B2107" t="s">
        <v>2525</v>
      </c>
    </row>
    <row r="2108" spans="1:2" x14ac:dyDescent="0.25">
      <c r="A2108" s="1" t="s">
        <v>4765</v>
      </c>
      <c r="B2108" t="s">
        <v>2526</v>
      </c>
    </row>
    <row r="2109" spans="1:2" x14ac:dyDescent="0.25">
      <c r="A2109" s="1" t="s">
        <v>4766</v>
      </c>
      <c r="B2109" t="s">
        <v>2527</v>
      </c>
    </row>
    <row r="2110" spans="1:2" x14ac:dyDescent="0.25">
      <c r="A2110" s="1" t="s">
        <v>4767</v>
      </c>
      <c r="B2110" t="s">
        <v>2528</v>
      </c>
    </row>
    <row r="2111" spans="1:2" x14ac:dyDescent="0.25">
      <c r="A2111" s="1" t="s">
        <v>4768</v>
      </c>
      <c r="B2111" t="s">
        <v>2529</v>
      </c>
    </row>
    <row r="2112" spans="1:2" x14ac:dyDescent="0.25">
      <c r="A2112" s="1" t="s">
        <v>4769</v>
      </c>
      <c r="B2112" t="s">
        <v>2530</v>
      </c>
    </row>
    <row r="2113" spans="1:2" x14ac:dyDescent="0.25">
      <c r="A2113" s="1" t="s">
        <v>4770</v>
      </c>
      <c r="B2113" t="s">
        <v>2531</v>
      </c>
    </row>
    <row r="2114" spans="1:2" x14ac:dyDescent="0.25">
      <c r="A2114" s="1" t="s">
        <v>4771</v>
      </c>
      <c r="B2114" t="s">
        <v>2533</v>
      </c>
    </row>
    <row r="2115" spans="1:2" x14ac:dyDescent="0.25">
      <c r="A2115" s="1" t="s">
        <v>4772</v>
      </c>
      <c r="B2115" t="s">
        <v>2534</v>
      </c>
    </row>
    <row r="2116" spans="1:2" x14ac:dyDescent="0.25">
      <c r="A2116" s="1" t="s">
        <v>4773</v>
      </c>
      <c r="B2116" t="s">
        <v>2535</v>
      </c>
    </row>
    <row r="2117" spans="1:2" x14ac:dyDescent="0.25">
      <c r="A2117" s="1" t="s">
        <v>4774</v>
      </c>
      <c r="B2117" t="s">
        <v>2536</v>
      </c>
    </row>
    <row r="2118" spans="1:2" x14ac:dyDescent="0.25">
      <c r="A2118" s="1" t="s">
        <v>4775</v>
      </c>
      <c r="B2118" t="s">
        <v>2537</v>
      </c>
    </row>
    <row r="2119" spans="1:2" x14ac:dyDescent="0.25">
      <c r="A2119" s="1" t="s">
        <v>4776</v>
      </c>
      <c r="B2119" t="s">
        <v>2538</v>
      </c>
    </row>
    <row r="2120" spans="1:2" x14ac:dyDescent="0.25">
      <c r="A2120" s="1" t="s">
        <v>4777</v>
      </c>
      <c r="B2120" t="s">
        <v>2539</v>
      </c>
    </row>
    <row r="2121" spans="1:2" x14ac:dyDescent="0.25">
      <c r="A2121" s="1" t="s">
        <v>4778</v>
      </c>
      <c r="B2121" t="s">
        <v>2540</v>
      </c>
    </row>
    <row r="2122" spans="1:2" x14ac:dyDescent="0.25">
      <c r="A2122" s="1" t="s">
        <v>4779</v>
      </c>
      <c r="B2122" t="s">
        <v>2541</v>
      </c>
    </row>
    <row r="2123" spans="1:2" x14ac:dyDescent="0.25">
      <c r="A2123" s="1" t="s">
        <v>4780</v>
      </c>
      <c r="B2123" t="s">
        <v>2542</v>
      </c>
    </row>
    <row r="2124" spans="1:2" x14ac:dyDescent="0.25">
      <c r="A2124" s="1" t="s">
        <v>4781</v>
      </c>
      <c r="B2124" t="s">
        <v>2543</v>
      </c>
    </row>
    <row r="2125" spans="1:2" x14ac:dyDescent="0.25">
      <c r="A2125" s="1" t="s">
        <v>4782</v>
      </c>
      <c r="B2125" t="s">
        <v>2544</v>
      </c>
    </row>
    <row r="2126" spans="1:2" x14ac:dyDescent="0.25">
      <c r="A2126" s="1" t="s">
        <v>4783</v>
      </c>
      <c r="B2126" t="s">
        <v>2545</v>
      </c>
    </row>
    <row r="2127" spans="1:2" x14ac:dyDescent="0.25">
      <c r="A2127" s="1" t="s">
        <v>4784</v>
      </c>
      <c r="B2127" t="s">
        <v>2546</v>
      </c>
    </row>
    <row r="2128" spans="1:2" x14ac:dyDescent="0.25">
      <c r="A2128" s="1" t="s">
        <v>4785</v>
      </c>
      <c r="B2128" t="s">
        <v>2547</v>
      </c>
    </row>
    <row r="2129" spans="1:2" x14ac:dyDescent="0.25">
      <c r="A2129" s="1" t="s">
        <v>4786</v>
      </c>
      <c r="B2129" t="s">
        <v>2548</v>
      </c>
    </row>
    <row r="2130" spans="1:2" x14ac:dyDescent="0.25">
      <c r="A2130" s="1" t="s">
        <v>4787</v>
      </c>
      <c r="B2130" t="s">
        <v>2549</v>
      </c>
    </row>
    <row r="2131" spans="1:2" x14ac:dyDescent="0.25">
      <c r="A2131" s="1" t="s">
        <v>4788</v>
      </c>
      <c r="B2131" t="s">
        <v>2550</v>
      </c>
    </row>
    <row r="2132" spans="1:2" x14ac:dyDescent="0.25">
      <c r="A2132" s="1" t="s">
        <v>4789</v>
      </c>
      <c r="B2132" t="s">
        <v>2551</v>
      </c>
    </row>
    <row r="2133" spans="1:2" x14ac:dyDescent="0.25">
      <c r="A2133" s="1" t="s">
        <v>4790</v>
      </c>
      <c r="B2133" t="s">
        <v>2552</v>
      </c>
    </row>
    <row r="2134" spans="1:2" x14ac:dyDescent="0.25">
      <c r="A2134" s="1" t="s">
        <v>4791</v>
      </c>
      <c r="B2134" t="s">
        <v>2553</v>
      </c>
    </row>
    <row r="2135" spans="1:2" x14ac:dyDescent="0.25">
      <c r="A2135" s="1" t="s">
        <v>4792</v>
      </c>
      <c r="B2135" t="s">
        <v>2554</v>
      </c>
    </row>
    <row r="2136" spans="1:2" x14ac:dyDescent="0.25">
      <c r="A2136" s="1" t="s">
        <v>4793</v>
      </c>
      <c r="B2136" t="s">
        <v>2557</v>
      </c>
    </row>
    <row r="2137" spans="1:2" x14ac:dyDescent="0.25">
      <c r="A2137" s="1" t="s">
        <v>4794</v>
      </c>
      <c r="B2137" t="s">
        <v>2558</v>
      </c>
    </row>
    <row r="2138" spans="1:2" x14ac:dyDescent="0.25">
      <c r="A2138" s="1" t="s">
        <v>4795</v>
      </c>
      <c r="B2138" t="s">
        <v>2559</v>
      </c>
    </row>
    <row r="2139" spans="1:2" x14ac:dyDescent="0.25">
      <c r="A2139" s="1" t="s">
        <v>4796</v>
      </c>
      <c r="B2139" t="s">
        <v>2560</v>
      </c>
    </row>
    <row r="2140" spans="1:2" x14ac:dyDescent="0.25">
      <c r="A2140" s="1" t="s">
        <v>4797</v>
      </c>
      <c r="B2140" t="s">
        <v>2561</v>
      </c>
    </row>
    <row r="2141" spans="1:2" x14ac:dyDescent="0.25">
      <c r="A2141" s="1" t="s">
        <v>4798</v>
      </c>
      <c r="B2141" t="s">
        <v>2562</v>
      </c>
    </row>
    <row r="2142" spans="1:2" x14ac:dyDescent="0.25">
      <c r="A2142" s="1" t="s">
        <v>4799</v>
      </c>
      <c r="B2142" t="s">
        <v>2563</v>
      </c>
    </row>
    <row r="2143" spans="1:2" x14ac:dyDescent="0.25">
      <c r="A2143" s="1" t="s">
        <v>4800</v>
      </c>
      <c r="B2143" t="s">
        <v>2564</v>
      </c>
    </row>
    <row r="2144" spans="1:2" x14ac:dyDescent="0.25">
      <c r="A2144" s="1" t="s">
        <v>4801</v>
      </c>
      <c r="B2144" t="s">
        <v>2565</v>
      </c>
    </row>
    <row r="2145" spans="1:2" x14ac:dyDescent="0.25">
      <c r="A2145" s="1" t="s">
        <v>4802</v>
      </c>
      <c r="B2145" t="s">
        <v>2566</v>
      </c>
    </row>
    <row r="2146" spans="1:2" x14ac:dyDescent="0.25">
      <c r="A2146" s="1" t="s">
        <v>4803</v>
      </c>
      <c r="B2146" t="s">
        <v>2567</v>
      </c>
    </row>
    <row r="2147" spans="1:2" x14ac:dyDescent="0.25">
      <c r="A2147" s="1" t="s">
        <v>4804</v>
      </c>
      <c r="B2147" t="s">
        <v>2568</v>
      </c>
    </row>
    <row r="2148" spans="1:2" x14ac:dyDescent="0.25">
      <c r="A2148" s="1" t="s">
        <v>4805</v>
      </c>
      <c r="B2148" t="s">
        <v>2569</v>
      </c>
    </row>
    <row r="2149" spans="1:2" x14ac:dyDescent="0.25">
      <c r="A2149" s="1" t="s">
        <v>4806</v>
      </c>
      <c r="B2149" t="s">
        <v>2570</v>
      </c>
    </row>
    <row r="2150" spans="1:2" x14ac:dyDescent="0.25">
      <c r="A2150" s="1" t="s">
        <v>4807</v>
      </c>
      <c r="B2150" t="s">
        <v>2571</v>
      </c>
    </row>
    <row r="2151" spans="1:2" x14ac:dyDescent="0.25">
      <c r="A2151" s="1" t="s">
        <v>4808</v>
      </c>
      <c r="B2151" t="s">
        <v>2572</v>
      </c>
    </row>
    <row r="2152" spans="1:2" x14ac:dyDescent="0.25">
      <c r="A2152" s="1" t="s">
        <v>4809</v>
      </c>
      <c r="B2152" t="s">
        <v>2573</v>
      </c>
    </row>
    <row r="2153" spans="1:2" x14ac:dyDescent="0.25">
      <c r="A2153" s="1" t="s">
        <v>4810</v>
      </c>
      <c r="B2153" t="s">
        <v>2574</v>
      </c>
    </row>
    <row r="2154" spans="1:2" x14ac:dyDescent="0.25">
      <c r="A2154" s="1" t="s">
        <v>4811</v>
      </c>
      <c r="B2154" t="s">
        <v>2575</v>
      </c>
    </row>
    <row r="2155" spans="1:2" x14ac:dyDescent="0.25">
      <c r="A2155" s="1" t="s">
        <v>4812</v>
      </c>
      <c r="B2155" t="s">
        <v>2576</v>
      </c>
    </row>
    <row r="2156" spans="1:2" x14ac:dyDescent="0.25">
      <c r="A2156" s="1" t="s">
        <v>4813</v>
      </c>
      <c r="B2156" t="s">
        <v>2577</v>
      </c>
    </row>
    <row r="2157" spans="1:2" x14ac:dyDescent="0.25">
      <c r="A2157" s="1" t="s">
        <v>4814</v>
      </c>
      <c r="B2157" t="s">
        <v>2578</v>
      </c>
    </row>
    <row r="2158" spans="1:2" x14ac:dyDescent="0.25">
      <c r="A2158" s="1" t="s">
        <v>4815</v>
      </c>
      <c r="B2158" t="s">
        <v>2579</v>
      </c>
    </row>
    <row r="2159" spans="1:2" x14ac:dyDescent="0.25">
      <c r="A2159" s="1" t="s">
        <v>4816</v>
      </c>
      <c r="B2159" t="s">
        <v>2580</v>
      </c>
    </row>
    <row r="2160" spans="1:2" x14ac:dyDescent="0.25">
      <c r="A2160" s="1" t="s">
        <v>4817</v>
      </c>
      <c r="B2160" t="s">
        <v>2581</v>
      </c>
    </row>
    <row r="2161" spans="1:2" x14ac:dyDescent="0.25">
      <c r="A2161" s="1" t="s">
        <v>4818</v>
      </c>
      <c r="B2161" t="s">
        <v>2582</v>
      </c>
    </row>
    <row r="2162" spans="1:2" x14ac:dyDescent="0.25">
      <c r="A2162" s="1" t="s">
        <v>4819</v>
      </c>
      <c r="B2162" t="s">
        <v>2296</v>
      </c>
    </row>
    <row r="2163" spans="1:2" x14ac:dyDescent="0.25">
      <c r="A2163" s="1" t="s">
        <v>4820</v>
      </c>
      <c r="B2163" t="s">
        <v>2313</v>
      </c>
    </row>
    <row r="2164" spans="1:2" x14ac:dyDescent="0.25">
      <c r="A2164" s="1" t="s">
        <v>4821</v>
      </c>
      <c r="B2164" t="s">
        <v>2584</v>
      </c>
    </row>
    <row r="2165" spans="1:2" x14ac:dyDescent="0.25">
      <c r="A2165" s="1" t="s">
        <v>4822</v>
      </c>
      <c r="B2165" t="s">
        <v>2323</v>
      </c>
    </row>
    <row r="2166" spans="1:2" x14ac:dyDescent="0.25">
      <c r="A2166" s="1" t="s">
        <v>4823</v>
      </c>
      <c r="B2166" t="s">
        <v>2585</v>
      </c>
    </row>
    <row r="2167" spans="1:2" x14ac:dyDescent="0.25">
      <c r="A2167" s="1" t="s">
        <v>4824</v>
      </c>
      <c r="B2167" t="s">
        <v>2586</v>
      </c>
    </row>
    <row r="2168" spans="1:2" x14ac:dyDescent="0.25">
      <c r="A2168" s="1" t="s">
        <v>4825</v>
      </c>
      <c r="B2168" t="s">
        <v>2341</v>
      </c>
    </row>
    <row r="2169" spans="1:2" x14ac:dyDescent="0.25">
      <c r="A2169" s="1" t="s">
        <v>4826</v>
      </c>
      <c r="B2169" t="s">
        <v>2353</v>
      </c>
    </row>
    <row r="2170" spans="1:2" x14ac:dyDescent="0.25">
      <c r="A2170" s="1" t="s">
        <v>4827</v>
      </c>
      <c r="B2170" t="s">
        <v>2367</v>
      </c>
    </row>
    <row r="2171" spans="1:2" x14ac:dyDescent="0.25">
      <c r="A2171" s="1" t="s">
        <v>4828</v>
      </c>
      <c r="B2171" t="s">
        <v>2587</v>
      </c>
    </row>
    <row r="2172" spans="1:2" x14ac:dyDescent="0.25">
      <c r="A2172" s="1" t="s">
        <v>4829</v>
      </c>
      <c r="B2172" t="s">
        <v>2421</v>
      </c>
    </row>
    <row r="2173" spans="1:2" x14ac:dyDescent="0.25">
      <c r="A2173" s="1" t="s">
        <v>4830</v>
      </c>
      <c r="B2173" t="s">
        <v>2425</v>
      </c>
    </row>
    <row r="2174" spans="1:2" x14ac:dyDescent="0.25">
      <c r="A2174" s="1" t="s">
        <v>4831</v>
      </c>
      <c r="B2174" t="s">
        <v>2427</v>
      </c>
    </row>
    <row r="2175" spans="1:2" x14ac:dyDescent="0.25">
      <c r="A2175" s="1" t="s">
        <v>4832</v>
      </c>
      <c r="B2175" t="s">
        <v>2588</v>
      </c>
    </row>
    <row r="2176" spans="1:2" x14ac:dyDescent="0.25">
      <c r="A2176" s="1" t="s">
        <v>4833</v>
      </c>
      <c r="B2176" t="s">
        <v>2434</v>
      </c>
    </row>
    <row r="2177" spans="1:2" x14ac:dyDescent="0.25">
      <c r="A2177" s="1" t="s">
        <v>4834</v>
      </c>
      <c r="B2177" t="s">
        <v>2589</v>
      </c>
    </row>
    <row r="2178" spans="1:2" x14ac:dyDescent="0.25">
      <c r="A2178" s="1" t="s">
        <v>4835</v>
      </c>
      <c r="B2178" t="s">
        <v>2590</v>
      </c>
    </row>
    <row r="2179" spans="1:2" x14ac:dyDescent="0.25">
      <c r="A2179" s="1" t="s">
        <v>4836</v>
      </c>
      <c r="B2179" t="s">
        <v>2591</v>
      </c>
    </row>
    <row r="2180" spans="1:2" x14ac:dyDescent="0.25">
      <c r="A2180" s="1" t="s">
        <v>4837</v>
      </c>
      <c r="B2180" t="s">
        <v>2235</v>
      </c>
    </row>
    <row r="2181" spans="1:2" x14ac:dyDescent="0.25">
      <c r="A2181" s="1" t="s">
        <v>4838</v>
      </c>
      <c r="B2181" t="s">
        <v>2593</v>
      </c>
    </row>
    <row r="2182" spans="1:2" x14ac:dyDescent="0.25">
      <c r="A2182" s="1" t="s">
        <v>4839</v>
      </c>
      <c r="B2182" t="s">
        <v>2236</v>
      </c>
    </row>
    <row r="2183" spans="1:2" x14ac:dyDescent="0.25">
      <c r="A2183" s="1" t="s">
        <v>4840</v>
      </c>
      <c r="B2183" t="s">
        <v>2595</v>
      </c>
    </row>
    <row r="2184" spans="1:2" x14ac:dyDescent="0.25">
      <c r="A2184" s="1" t="s">
        <v>4841</v>
      </c>
      <c r="B2184" t="s">
        <v>2245</v>
      </c>
    </row>
    <row r="2185" spans="1:2" x14ac:dyDescent="0.25">
      <c r="A2185" s="1" t="s">
        <v>4842</v>
      </c>
      <c r="B2185" t="s">
        <v>2300</v>
      </c>
    </row>
    <row r="2186" spans="1:2" x14ac:dyDescent="0.25">
      <c r="A2186" s="1" t="s">
        <v>4843</v>
      </c>
      <c r="B2186" t="s">
        <v>2373</v>
      </c>
    </row>
    <row r="2187" spans="1:2" x14ac:dyDescent="0.25">
      <c r="A2187" s="1" t="s">
        <v>4844</v>
      </c>
      <c r="B2187" t="s">
        <v>2597</v>
      </c>
    </row>
    <row r="2188" spans="1:2" x14ac:dyDescent="0.25">
      <c r="A2188" s="1" t="s">
        <v>4845</v>
      </c>
      <c r="B2188" t="s">
        <v>2247</v>
      </c>
    </row>
    <row r="2189" spans="1:2" x14ac:dyDescent="0.25">
      <c r="A2189" s="1" t="s">
        <v>4846</v>
      </c>
      <c r="B2189" t="s">
        <v>2599</v>
      </c>
    </row>
    <row r="2190" spans="1:2" x14ac:dyDescent="0.25">
      <c r="A2190" s="1" t="s">
        <v>4847</v>
      </c>
      <c r="B2190" t="s">
        <v>2600</v>
      </c>
    </row>
    <row r="2191" spans="1:2" x14ac:dyDescent="0.25">
      <c r="A2191" s="1" t="s">
        <v>4848</v>
      </c>
      <c r="B2191" t="s">
        <v>2601</v>
      </c>
    </row>
    <row r="2192" spans="1:2" x14ac:dyDescent="0.25">
      <c r="A2192" s="1" t="s">
        <v>4849</v>
      </c>
      <c r="B2192" t="s">
        <v>2248</v>
      </c>
    </row>
    <row r="2193" spans="1:2" x14ac:dyDescent="0.25">
      <c r="A2193" s="1" t="s">
        <v>4850</v>
      </c>
      <c r="B2193" t="s">
        <v>2603</v>
      </c>
    </row>
    <row r="2194" spans="1:2" x14ac:dyDescent="0.25">
      <c r="A2194" s="1" t="s">
        <v>4851</v>
      </c>
      <c r="B2194" t="s">
        <v>2250</v>
      </c>
    </row>
    <row r="2195" spans="1:2" x14ac:dyDescent="0.25">
      <c r="A2195" s="1" t="s">
        <v>4852</v>
      </c>
      <c r="B2195" t="s">
        <v>2282</v>
      </c>
    </row>
    <row r="2196" spans="1:2" x14ac:dyDescent="0.25">
      <c r="A2196" s="1" t="s">
        <v>4853</v>
      </c>
      <c r="B2196" t="s">
        <v>2290</v>
      </c>
    </row>
    <row r="2197" spans="1:2" x14ac:dyDescent="0.25">
      <c r="A2197" s="1" t="s">
        <v>4854</v>
      </c>
      <c r="B2197" t="s">
        <v>2305</v>
      </c>
    </row>
    <row r="2198" spans="1:2" x14ac:dyDescent="0.25">
      <c r="A2198" s="1" t="s">
        <v>4855</v>
      </c>
      <c r="B2198" t="s">
        <v>2311</v>
      </c>
    </row>
    <row r="2199" spans="1:2" x14ac:dyDescent="0.25">
      <c r="A2199" s="1" t="s">
        <v>4856</v>
      </c>
      <c r="B2199" t="s">
        <v>2321</v>
      </c>
    </row>
    <row r="2200" spans="1:2" x14ac:dyDescent="0.25">
      <c r="A2200" s="1" t="s">
        <v>4857</v>
      </c>
      <c r="B2200" t="s">
        <v>2605</v>
      </c>
    </row>
    <row r="2201" spans="1:2" x14ac:dyDescent="0.25">
      <c r="A2201" s="1" t="s">
        <v>4858</v>
      </c>
      <c r="B2201" t="s">
        <v>2327</v>
      </c>
    </row>
    <row r="2202" spans="1:2" x14ac:dyDescent="0.25">
      <c r="A2202" s="1" t="s">
        <v>4859</v>
      </c>
      <c r="B2202" t="s">
        <v>2329</v>
      </c>
    </row>
    <row r="2203" spans="1:2" x14ac:dyDescent="0.25">
      <c r="A2203" s="1" t="s">
        <v>4860</v>
      </c>
      <c r="B2203" t="s">
        <v>2349</v>
      </c>
    </row>
    <row r="2204" spans="1:2" x14ac:dyDescent="0.25">
      <c r="A2204" s="1" t="s">
        <v>4861</v>
      </c>
      <c r="B2204" t="s">
        <v>2339</v>
      </c>
    </row>
    <row r="2205" spans="1:2" x14ac:dyDescent="0.25">
      <c r="A2205" s="1" t="s">
        <v>4862</v>
      </c>
      <c r="B2205" t="s">
        <v>2413</v>
      </c>
    </row>
    <row r="2206" spans="1:2" x14ac:dyDescent="0.25">
      <c r="A2206" s="1" t="s">
        <v>4863</v>
      </c>
      <c r="B2206" t="s">
        <v>2419</v>
      </c>
    </row>
    <row r="2207" spans="1:2" x14ac:dyDescent="0.25">
      <c r="A2207" s="1" t="s">
        <v>4864</v>
      </c>
      <c r="B2207" t="s">
        <v>2432</v>
      </c>
    </row>
    <row r="2208" spans="1:2" x14ac:dyDescent="0.25">
      <c r="A2208" s="1" t="s">
        <v>4865</v>
      </c>
      <c r="B2208" t="s">
        <v>2606</v>
      </c>
    </row>
    <row r="2209" spans="1:2" x14ac:dyDescent="0.25">
      <c r="A2209" s="1" t="s">
        <v>4866</v>
      </c>
      <c r="B2209" t="s">
        <v>2238</v>
      </c>
    </row>
    <row r="2210" spans="1:2" x14ac:dyDescent="0.25">
      <c r="A2210" s="1" t="s">
        <v>4867</v>
      </c>
      <c r="B2210" t="s">
        <v>2242</v>
      </c>
    </row>
    <row r="2211" spans="1:2" x14ac:dyDescent="0.25">
      <c r="A2211" s="1" t="s">
        <v>4868</v>
      </c>
      <c r="B2211" t="s">
        <v>2608</v>
      </c>
    </row>
    <row r="2212" spans="1:2" x14ac:dyDescent="0.25">
      <c r="A2212" s="1" t="s">
        <v>4869</v>
      </c>
      <c r="B2212" t="s">
        <v>2334</v>
      </c>
    </row>
    <row r="2213" spans="1:2" x14ac:dyDescent="0.25">
      <c r="A2213" s="1" t="s">
        <v>4870</v>
      </c>
      <c r="B2213" t="s">
        <v>2609</v>
      </c>
    </row>
    <row r="2214" spans="1:2" x14ac:dyDescent="0.25">
      <c r="A2214" s="1" t="s">
        <v>4871</v>
      </c>
      <c r="B2214" t="s">
        <v>2251</v>
      </c>
    </row>
    <row r="2215" spans="1:2" x14ac:dyDescent="0.25">
      <c r="A2215" s="1" t="s">
        <v>4872</v>
      </c>
      <c r="B2215" t="s">
        <v>2611</v>
      </c>
    </row>
    <row r="2216" spans="1:2" x14ac:dyDescent="0.25">
      <c r="A2216" s="1" t="s">
        <v>4873</v>
      </c>
      <c r="B2216" t="s">
        <v>2252</v>
      </c>
    </row>
    <row r="2217" spans="1:2" x14ac:dyDescent="0.25">
      <c r="A2217" s="1" t="s">
        <v>4874</v>
      </c>
      <c r="B2217" t="s">
        <v>2237</v>
      </c>
    </row>
    <row r="2218" spans="1:2" x14ac:dyDescent="0.25">
      <c r="A2218" s="1" t="s">
        <v>4875</v>
      </c>
      <c r="B2218" t="s">
        <v>2292</v>
      </c>
    </row>
    <row r="2219" spans="1:2" x14ac:dyDescent="0.25">
      <c r="A2219" s="1" t="s">
        <v>4876</v>
      </c>
      <c r="B2219" t="s">
        <v>2613</v>
      </c>
    </row>
    <row r="2220" spans="1:2" x14ac:dyDescent="0.25">
      <c r="A2220" s="1" t="s">
        <v>4877</v>
      </c>
      <c r="B2220" t="s">
        <v>2614</v>
      </c>
    </row>
    <row r="2221" spans="1:2" x14ac:dyDescent="0.25">
      <c r="A2221" s="1" t="s">
        <v>4878</v>
      </c>
      <c r="B2221" t="s">
        <v>2351</v>
      </c>
    </row>
    <row r="2222" spans="1:2" x14ac:dyDescent="0.25">
      <c r="A2222" s="1" t="s">
        <v>4879</v>
      </c>
      <c r="B2222" t="s">
        <v>2438</v>
      </c>
    </row>
    <row r="2223" spans="1:2" x14ac:dyDescent="0.25">
      <c r="A2223" s="1" t="s">
        <v>4880</v>
      </c>
      <c r="B2223" t="s">
        <v>2615</v>
      </c>
    </row>
    <row r="2224" spans="1:2" x14ac:dyDescent="0.25">
      <c r="A2224" s="1" t="s">
        <v>4881</v>
      </c>
      <c r="B2224" t="s">
        <v>2253</v>
      </c>
    </row>
    <row r="2225" spans="1:2" x14ac:dyDescent="0.25">
      <c r="A2225" s="1" t="s">
        <v>4882</v>
      </c>
      <c r="B2225" t="s">
        <v>2617</v>
      </c>
    </row>
    <row r="2226" spans="1:2" x14ac:dyDescent="0.25">
      <c r="A2226" s="1" t="s">
        <v>4883</v>
      </c>
      <c r="B2226" t="s">
        <v>2254</v>
      </c>
    </row>
    <row r="2227" spans="1:2" x14ac:dyDescent="0.25">
      <c r="A2227" s="1" t="s">
        <v>4884</v>
      </c>
      <c r="B2227" t="s">
        <v>2317</v>
      </c>
    </row>
    <row r="2228" spans="1:2" x14ac:dyDescent="0.25">
      <c r="A2228" s="1" t="s">
        <v>4885</v>
      </c>
      <c r="B2228" t="s">
        <v>2333</v>
      </c>
    </row>
    <row r="2229" spans="1:2" x14ac:dyDescent="0.25">
      <c r="A2229" s="1" t="s">
        <v>4886</v>
      </c>
      <c r="B2229" t="s">
        <v>2417</v>
      </c>
    </row>
    <row r="2230" spans="1:2" x14ac:dyDescent="0.25">
      <c r="A2230" s="1" t="s">
        <v>4887</v>
      </c>
      <c r="B2230" t="s">
        <v>2619</v>
      </c>
    </row>
    <row r="2231" spans="1:2" x14ac:dyDescent="0.25">
      <c r="A2231" s="1" t="s">
        <v>4888</v>
      </c>
      <c r="B2231" t="s">
        <v>2256</v>
      </c>
    </row>
    <row r="2232" spans="1:2" x14ac:dyDescent="0.25">
      <c r="A2232" s="1" t="s">
        <v>4889</v>
      </c>
      <c r="B2232" t="s">
        <v>2621</v>
      </c>
    </row>
    <row r="2233" spans="1:2" x14ac:dyDescent="0.25">
      <c r="A2233" s="1" t="s">
        <v>4890</v>
      </c>
      <c r="B2233" t="s">
        <v>2257</v>
      </c>
    </row>
    <row r="2234" spans="1:2" x14ac:dyDescent="0.25">
      <c r="A2234" s="1" t="s">
        <v>4891</v>
      </c>
      <c r="B2234" t="s">
        <v>2345</v>
      </c>
    </row>
    <row r="2235" spans="1:2" x14ac:dyDescent="0.25">
      <c r="A2235" s="1" t="s">
        <v>4892</v>
      </c>
      <c r="B2235" t="s">
        <v>2363</v>
      </c>
    </row>
    <row r="2236" spans="1:2" x14ac:dyDescent="0.25">
      <c r="A2236" s="1" t="s">
        <v>4893</v>
      </c>
      <c r="B2236" t="s">
        <v>2365</v>
      </c>
    </row>
    <row r="2237" spans="1:2" x14ac:dyDescent="0.25">
      <c r="A2237" s="1" t="s">
        <v>4894</v>
      </c>
      <c r="B2237" t="s">
        <v>2387</v>
      </c>
    </row>
    <row r="2238" spans="1:2" x14ac:dyDescent="0.25">
      <c r="A2238" s="1" t="s">
        <v>4895</v>
      </c>
      <c r="B2238" t="s">
        <v>2623</v>
      </c>
    </row>
    <row r="2239" spans="1:2" x14ac:dyDescent="0.25">
      <c r="A2239" s="1" t="s">
        <v>4896</v>
      </c>
      <c r="B2239" t="s">
        <v>2625</v>
      </c>
    </row>
    <row r="2240" spans="1:2" x14ac:dyDescent="0.25">
      <c r="A2240" s="1" t="s">
        <v>4897</v>
      </c>
      <c r="B2240" t="s">
        <v>2626</v>
      </c>
    </row>
    <row r="2241" spans="1:2" x14ac:dyDescent="0.25">
      <c r="A2241" s="1" t="s">
        <v>4898</v>
      </c>
      <c r="B2241" t="s">
        <v>2258</v>
      </c>
    </row>
    <row r="2242" spans="1:2" x14ac:dyDescent="0.25">
      <c r="A2242" s="1" t="s">
        <v>4899</v>
      </c>
      <c r="B2242" t="s">
        <v>2359</v>
      </c>
    </row>
    <row r="2243" spans="1:2" x14ac:dyDescent="0.25">
      <c r="A2243" s="1" t="s">
        <v>4900</v>
      </c>
      <c r="B2243" t="s">
        <v>2389</v>
      </c>
    </row>
    <row r="2244" spans="1:2" x14ac:dyDescent="0.25">
      <c r="A2244" s="1" t="s">
        <v>4901</v>
      </c>
      <c r="B2244" t="s">
        <v>2628</v>
      </c>
    </row>
    <row r="2245" spans="1:2" x14ac:dyDescent="0.25">
      <c r="A2245" s="1" t="s">
        <v>4902</v>
      </c>
      <c r="B2245" t="s">
        <v>2260</v>
      </c>
    </row>
    <row r="2246" spans="1:2" x14ac:dyDescent="0.25">
      <c r="A2246" s="1" t="s">
        <v>4903</v>
      </c>
      <c r="B2246" t="s">
        <v>2630</v>
      </c>
    </row>
    <row r="2247" spans="1:2" x14ac:dyDescent="0.25">
      <c r="A2247" s="1" t="s">
        <v>4904</v>
      </c>
      <c r="B2247" t="s">
        <v>2631</v>
      </c>
    </row>
    <row r="2248" spans="1:2" x14ac:dyDescent="0.25">
      <c r="A2248" s="1" t="s">
        <v>4905</v>
      </c>
      <c r="B2248" t="s">
        <v>2280</v>
      </c>
    </row>
    <row r="2249" spans="1:2" x14ac:dyDescent="0.25">
      <c r="A2249" s="1" t="s">
        <v>4906</v>
      </c>
      <c r="B2249" t="s">
        <v>2284</v>
      </c>
    </row>
    <row r="2250" spans="1:2" x14ac:dyDescent="0.25">
      <c r="A2250" s="1" t="s">
        <v>4907</v>
      </c>
      <c r="B2250" t="s">
        <v>2298</v>
      </c>
    </row>
    <row r="2251" spans="1:2" x14ac:dyDescent="0.25">
      <c r="A2251" s="1" t="s">
        <v>4908</v>
      </c>
      <c r="B2251" t="s">
        <v>2307</v>
      </c>
    </row>
    <row r="2252" spans="1:2" x14ac:dyDescent="0.25">
      <c r="A2252" s="1" t="s">
        <v>4909</v>
      </c>
      <c r="B2252" t="s">
        <v>2319</v>
      </c>
    </row>
    <row r="2253" spans="1:2" x14ac:dyDescent="0.25">
      <c r="A2253" s="1" t="s">
        <v>4910</v>
      </c>
      <c r="B2253" t="s">
        <v>2325</v>
      </c>
    </row>
    <row r="2254" spans="1:2" x14ac:dyDescent="0.25">
      <c r="A2254" s="1" t="s">
        <v>4911</v>
      </c>
      <c r="B2254" t="s">
        <v>2331</v>
      </c>
    </row>
    <row r="2255" spans="1:2" x14ac:dyDescent="0.25">
      <c r="A2255" s="1" t="s">
        <v>4912</v>
      </c>
      <c r="B2255" t="s">
        <v>2336</v>
      </c>
    </row>
    <row r="2256" spans="1:2" x14ac:dyDescent="0.25">
      <c r="A2256" s="1" t="s">
        <v>4913</v>
      </c>
      <c r="B2256" t="s">
        <v>2343</v>
      </c>
    </row>
    <row r="2257" spans="1:2" x14ac:dyDescent="0.25">
      <c r="A2257" s="1" t="s">
        <v>4914</v>
      </c>
      <c r="B2257" t="s">
        <v>2355</v>
      </c>
    </row>
    <row r="2258" spans="1:2" x14ac:dyDescent="0.25">
      <c r="A2258" s="1" t="s">
        <v>4915</v>
      </c>
      <c r="B2258" t="s">
        <v>2391</v>
      </c>
    </row>
    <row r="2259" spans="1:2" x14ac:dyDescent="0.25">
      <c r="A2259" s="1" t="s">
        <v>4916</v>
      </c>
      <c r="B2259" t="s">
        <v>2415</v>
      </c>
    </row>
    <row r="2260" spans="1:2" x14ac:dyDescent="0.25">
      <c r="A2260" s="1" t="s">
        <v>4917</v>
      </c>
      <c r="B2260" t="s">
        <v>2632</v>
      </c>
    </row>
    <row r="2261" spans="1:2" x14ac:dyDescent="0.25">
      <c r="A2261" s="1" t="s">
        <v>4918</v>
      </c>
      <c r="B2261" t="s">
        <v>2261</v>
      </c>
    </row>
    <row r="2262" spans="1:2" x14ac:dyDescent="0.25">
      <c r="A2262" s="1" t="s">
        <v>4919</v>
      </c>
      <c r="B2262" t="s">
        <v>2278</v>
      </c>
    </row>
    <row r="2263" spans="1:2" x14ac:dyDescent="0.25">
      <c r="A2263" s="1" t="s">
        <v>4920</v>
      </c>
      <c r="B2263" t="s">
        <v>2286</v>
      </c>
    </row>
    <row r="2264" spans="1:2" x14ac:dyDescent="0.25">
      <c r="A2264" s="1" t="s">
        <v>4921</v>
      </c>
      <c r="B2264" t="s">
        <v>2302</v>
      </c>
    </row>
    <row r="2265" spans="1:2" x14ac:dyDescent="0.25">
      <c r="A2265" s="1" t="s">
        <v>4922</v>
      </c>
      <c r="B2265" t="s">
        <v>2347</v>
      </c>
    </row>
    <row r="2266" spans="1:2" x14ac:dyDescent="0.25">
      <c r="A2266" s="1" t="s">
        <v>4923</v>
      </c>
      <c r="B2266" t="s">
        <v>2369</v>
      </c>
    </row>
    <row r="2267" spans="1:2" x14ac:dyDescent="0.25">
      <c r="A2267" s="1" t="s">
        <v>4924</v>
      </c>
      <c r="B2267" t="s">
        <v>2371</v>
      </c>
    </row>
    <row r="2268" spans="1:2" x14ac:dyDescent="0.25">
      <c r="A2268" s="1" t="s">
        <v>4925</v>
      </c>
      <c r="B2268" t="s">
        <v>2375</v>
      </c>
    </row>
    <row r="2269" spans="1:2" x14ac:dyDescent="0.25">
      <c r="A2269" s="1" t="s">
        <v>4926</v>
      </c>
      <c r="B2269" t="s">
        <v>2377</v>
      </c>
    </row>
    <row r="2270" spans="1:2" x14ac:dyDescent="0.25">
      <c r="A2270" s="1" t="s">
        <v>4927</v>
      </c>
      <c r="B2270" t="s">
        <v>2379</v>
      </c>
    </row>
    <row r="2271" spans="1:2" x14ac:dyDescent="0.25">
      <c r="A2271" s="1" t="s">
        <v>4928</v>
      </c>
      <c r="B2271" t="s">
        <v>2381</v>
      </c>
    </row>
    <row r="2272" spans="1:2" x14ac:dyDescent="0.25">
      <c r="A2272" s="1" t="s">
        <v>4929</v>
      </c>
      <c r="B2272" t="s">
        <v>2383</v>
      </c>
    </row>
    <row r="2273" spans="1:2" x14ac:dyDescent="0.25">
      <c r="A2273" s="1" t="s">
        <v>4930</v>
      </c>
      <c r="B2273" t="s">
        <v>2385</v>
      </c>
    </row>
    <row r="2274" spans="1:2" x14ac:dyDescent="0.25">
      <c r="A2274" s="1" t="s">
        <v>4931</v>
      </c>
      <c r="B2274" t="s">
        <v>2393</v>
      </c>
    </row>
    <row r="2275" spans="1:2" x14ac:dyDescent="0.25">
      <c r="A2275" s="1" t="s">
        <v>4932</v>
      </c>
      <c r="B2275" t="s">
        <v>2399</v>
      </c>
    </row>
    <row r="2276" spans="1:2" x14ac:dyDescent="0.25">
      <c r="A2276" s="1" t="s">
        <v>4933</v>
      </c>
      <c r="B2276" t="s">
        <v>2403</v>
      </c>
    </row>
    <row r="2277" spans="1:2" x14ac:dyDescent="0.25">
      <c r="A2277" s="1" t="s">
        <v>4934</v>
      </c>
      <c r="B2277" t="s">
        <v>2634</v>
      </c>
    </row>
    <row r="2278" spans="1:2" x14ac:dyDescent="0.25">
      <c r="A2278" s="1" t="s">
        <v>4935</v>
      </c>
      <c r="B2278" t="s">
        <v>2262</v>
      </c>
    </row>
    <row r="2279" spans="1:2" x14ac:dyDescent="0.25">
      <c r="A2279" s="1" t="s">
        <v>4936</v>
      </c>
      <c r="B2279" t="s">
        <v>2423</v>
      </c>
    </row>
    <row r="2280" spans="1:2" x14ac:dyDescent="0.25">
      <c r="A2280" s="1" t="s">
        <v>4937</v>
      </c>
      <c r="B2280" t="s">
        <v>2397</v>
      </c>
    </row>
    <row r="2281" spans="1:2" x14ac:dyDescent="0.25">
      <c r="A2281" s="1" t="s">
        <v>4938</v>
      </c>
      <c r="B2281" t="s">
        <v>2636</v>
      </c>
    </row>
    <row r="2282" spans="1:2" x14ac:dyDescent="0.25">
      <c r="A2282" s="1" t="s">
        <v>4939</v>
      </c>
      <c r="B2282" t="s">
        <v>2263</v>
      </c>
    </row>
    <row r="2283" spans="1:2" x14ac:dyDescent="0.25">
      <c r="A2283" s="1" t="s">
        <v>4940</v>
      </c>
      <c r="B2283" t="s">
        <v>2638</v>
      </c>
    </row>
    <row r="2284" spans="1:2" x14ac:dyDescent="0.25">
      <c r="A2284" s="1" t="s">
        <v>4941</v>
      </c>
      <c r="B2284" t="s">
        <v>2409</v>
      </c>
    </row>
    <row r="2285" spans="1:2" x14ac:dyDescent="0.25">
      <c r="A2285" s="1" t="s">
        <v>4942</v>
      </c>
      <c r="B2285" t="s">
        <v>2639</v>
      </c>
    </row>
    <row r="2286" spans="1:2" x14ac:dyDescent="0.25">
      <c r="A2286" s="1" t="s">
        <v>4943</v>
      </c>
      <c r="B2286" t="s">
        <v>2640</v>
      </c>
    </row>
    <row r="2287" spans="1:2" x14ac:dyDescent="0.25">
      <c r="A2287" s="1" t="s">
        <v>4944</v>
      </c>
      <c r="B2287" t="s">
        <v>2641</v>
      </c>
    </row>
    <row r="2288" spans="1:2" x14ac:dyDescent="0.25">
      <c r="A2288" s="1" t="s">
        <v>4945</v>
      </c>
      <c r="B2288" t="s">
        <v>2265</v>
      </c>
    </row>
    <row r="2289" spans="1:2" x14ac:dyDescent="0.25">
      <c r="A2289" s="1" t="s">
        <v>4946</v>
      </c>
      <c r="B2289" t="s">
        <v>2233</v>
      </c>
    </row>
    <row r="2290" spans="1:2" x14ac:dyDescent="0.25">
      <c r="A2290" s="1" t="s">
        <v>4947</v>
      </c>
      <c r="B2290" t="s">
        <v>2255</v>
      </c>
    </row>
    <row r="2291" spans="1:2" x14ac:dyDescent="0.25">
      <c r="A2291" s="1" t="s">
        <v>4948</v>
      </c>
      <c r="B2291" t="s">
        <v>2643</v>
      </c>
    </row>
    <row r="2292" spans="1:2" x14ac:dyDescent="0.25">
      <c r="A2292" s="1" t="s">
        <v>4949</v>
      </c>
      <c r="B2292" t="s">
        <v>2264</v>
      </c>
    </row>
    <row r="2293" spans="1:2" x14ac:dyDescent="0.25">
      <c r="A2293" s="1" t="s">
        <v>4950</v>
      </c>
      <c r="B2293" t="s">
        <v>2276</v>
      </c>
    </row>
    <row r="2294" spans="1:2" x14ac:dyDescent="0.25">
      <c r="A2294" s="1" t="s">
        <v>4951</v>
      </c>
      <c r="B2294" t="s">
        <v>2288</v>
      </c>
    </row>
    <row r="2295" spans="1:2" x14ac:dyDescent="0.25">
      <c r="A2295" s="1" t="s">
        <v>4952</v>
      </c>
      <c r="B2295" t="s">
        <v>2411</v>
      </c>
    </row>
    <row r="2296" spans="1:2" x14ac:dyDescent="0.25">
      <c r="A2296" s="1" t="s">
        <v>4953</v>
      </c>
      <c r="B2296" t="s">
        <v>2309</v>
      </c>
    </row>
    <row r="2297" spans="1:2" x14ac:dyDescent="0.25">
      <c r="A2297" s="1" t="s">
        <v>4954</v>
      </c>
      <c r="B2297" t="s">
        <v>2315</v>
      </c>
    </row>
    <row r="2298" spans="1:2" x14ac:dyDescent="0.25">
      <c r="A2298" s="1" t="s">
        <v>4955</v>
      </c>
      <c r="B2298" t="s">
        <v>2645</v>
      </c>
    </row>
    <row r="2299" spans="1:2" x14ac:dyDescent="0.25">
      <c r="A2299" s="1" t="s">
        <v>4956</v>
      </c>
      <c r="B2299" t="s">
        <v>2266</v>
      </c>
    </row>
    <row r="2300" spans="1:2" x14ac:dyDescent="0.25">
      <c r="A2300" s="1" t="s">
        <v>4957</v>
      </c>
      <c r="B2300" t="s">
        <v>2647</v>
      </c>
    </row>
    <row r="2301" spans="1:2" x14ac:dyDescent="0.25">
      <c r="A2301" s="1" t="s">
        <v>4958</v>
      </c>
      <c r="B2301" t="s">
        <v>2246</v>
      </c>
    </row>
    <row r="2302" spans="1:2" x14ac:dyDescent="0.25">
      <c r="A2302" s="1" t="s">
        <v>4959</v>
      </c>
      <c r="B2302" t="s">
        <v>2649</v>
      </c>
    </row>
    <row r="2303" spans="1:2" x14ac:dyDescent="0.25">
      <c r="A2303" s="1" t="s">
        <v>4960</v>
      </c>
      <c r="B2303" t="s">
        <v>2650</v>
      </c>
    </row>
    <row r="2304" spans="1:2" x14ac:dyDescent="0.25">
      <c r="A2304" s="1" t="s">
        <v>4961</v>
      </c>
      <c r="B2304" t="s">
        <v>2303</v>
      </c>
    </row>
    <row r="2305" spans="1:2" x14ac:dyDescent="0.25">
      <c r="A2305" s="1" t="s">
        <v>4962</v>
      </c>
      <c r="B2305" t="s">
        <v>2337</v>
      </c>
    </row>
    <row r="2306" spans="1:2" x14ac:dyDescent="0.25">
      <c r="A2306" s="1" t="s">
        <v>4963</v>
      </c>
      <c r="B2306" t="s">
        <v>2651</v>
      </c>
    </row>
    <row r="2307" spans="1:2" x14ac:dyDescent="0.25">
      <c r="A2307" s="1" t="s">
        <v>4964</v>
      </c>
      <c r="B2307" t="s">
        <v>2357</v>
      </c>
    </row>
    <row r="2308" spans="1:2" x14ac:dyDescent="0.25">
      <c r="A2308" s="1" t="s">
        <v>4965</v>
      </c>
      <c r="B2308" t="s">
        <v>2361</v>
      </c>
    </row>
    <row r="2309" spans="1:2" x14ac:dyDescent="0.25">
      <c r="A2309" s="1" t="s">
        <v>4966</v>
      </c>
      <c r="B2309" t="s">
        <v>2395</v>
      </c>
    </row>
    <row r="2310" spans="1:2" x14ac:dyDescent="0.25">
      <c r="A2310" s="1" t="s">
        <v>4967</v>
      </c>
      <c r="B2310" t="s">
        <v>2267</v>
      </c>
    </row>
    <row r="2311" spans="1:2" x14ac:dyDescent="0.25">
      <c r="A2311" s="1" t="s">
        <v>4968</v>
      </c>
      <c r="B2311" t="s">
        <v>2430</v>
      </c>
    </row>
    <row r="2312" spans="1:2" x14ac:dyDescent="0.25">
      <c r="A2312" s="1" t="s">
        <v>4969</v>
      </c>
      <c r="B2312" t="s">
        <v>2436</v>
      </c>
    </row>
    <row r="2313" spans="1:2" x14ac:dyDescent="0.25">
      <c r="A2313" s="1" t="s">
        <v>4970</v>
      </c>
      <c r="B2313" t="s">
        <v>2652</v>
      </c>
    </row>
    <row r="2314" spans="1:2" x14ac:dyDescent="0.25">
      <c r="A2314" s="1" t="s">
        <v>4971</v>
      </c>
      <c r="B2314" t="s">
        <v>2249</v>
      </c>
    </row>
    <row r="2315" spans="1:2" x14ac:dyDescent="0.25">
      <c r="A2315" s="1" t="s">
        <v>4972</v>
      </c>
      <c r="B2315" t="s">
        <v>2244</v>
      </c>
    </row>
    <row r="2316" spans="1:2" x14ac:dyDescent="0.25">
      <c r="A2316" s="1" t="s">
        <v>4973</v>
      </c>
      <c r="B2316" t="s">
        <v>2654</v>
      </c>
    </row>
    <row r="2317" spans="1:2" x14ac:dyDescent="0.25">
      <c r="A2317" s="1" t="s">
        <v>4974</v>
      </c>
      <c r="B2317" t="s">
        <v>2294</v>
      </c>
    </row>
    <row r="2318" spans="1:2" x14ac:dyDescent="0.25">
      <c r="A2318" s="1" t="s">
        <v>4975</v>
      </c>
      <c r="B2318" t="s">
        <v>2401</v>
      </c>
    </row>
    <row r="2319" spans="1:2" x14ac:dyDescent="0.25">
      <c r="A2319" s="1" t="s">
        <v>4976</v>
      </c>
      <c r="B2319" t="s">
        <v>2429</v>
      </c>
    </row>
    <row r="2320" spans="1:2" x14ac:dyDescent="0.25">
      <c r="A2320" s="1" t="s">
        <v>4977</v>
      </c>
      <c r="B2320" t="s">
        <v>2269</v>
      </c>
    </row>
    <row r="2321" spans="1:2" x14ac:dyDescent="0.25">
      <c r="A2321" s="1" t="s">
        <v>4978</v>
      </c>
      <c r="B2321" t="s">
        <v>2272</v>
      </c>
    </row>
    <row r="2322" spans="1:2" x14ac:dyDescent="0.25">
      <c r="A2322" s="1" t="s">
        <v>4979</v>
      </c>
      <c r="B2322" t="s">
        <v>2655</v>
      </c>
    </row>
    <row r="2323" spans="1:2" x14ac:dyDescent="0.25">
      <c r="A2323" s="1" t="s">
        <v>4980</v>
      </c>
      <c r="B2323" t="s">
        <v>2270</v>
      </c>
    </row>
    <row r="2324" spans="1:2" x14ac:dyDescent="0.25">
      <c r="A2324" s="1" t="s">
        <v>4981</v>
      </c>
      <c r="B2324" t="s">
        <v>2405</v>
      </c>
    </row>
    <row r="2325" spans="1:2" x14ac:dyDescent="0.25">
      <c r="A2325" s="1" t="s">
        <v>4982</v>
      </c>
      <c r="B2325" t="s">
        <v>2657</v>
      </c>
    </row>
    <row r="2326" spans="1:2" x14ac:dyDescent="0.25">
      <c r="A2326" s="1" t="s">
        <v>4983</v>
      </c>
      <c r="B2326" t="s">
        <v>2658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00"/>
  <sheetViews>
    <sheetView workbookViewId="0"/>
  </sheetViews>
  <sheetFormatPr defaultRowHeight="15" x14ac:dyDescent="0.25"/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 t="str">
        <f>"01"</f>
        <v>01</v>
      </c>
      <c r="B2" t="s">
        <v>6</v>
      </c>
      <c r="C2" t="s">
        <v>7</v>
      </c>
      <c r="D2" t="s">
        <v>8</v>
      </c>
      <c r="E2" t="str">
        <f>"01"</f>
        <v>01</v>
      </c>
      <c r="F2" t="s">
        <v>9</v>
      </c>
    </row>
    <row r="3" spans="1:6" x14ac:dyDescent="0.25">
      <c r="A3" t="str">
        <f>"01.00"</f>
        <v>01.00</v>
      </c>
      <c r="B3" t="s">
        <v>10</v>
      </c>
      <c r="C3" t="s">
        <v>7</v>
      </c>
      <c r="D3" t="s">
        <v>11</v>
      </c>
      <c r="E3" t="str">
        <f>"01.00"</f>
        <v>01.00</v>
      </c>
      <c r="F3" t="s">
        <v>10</v>
      </c>
    </row>
    <row r="4" spans="1:6" x14ac:dyDescent="0.25">
      <c r="A4" t="str">
        <f>"01.0000"</f>
        <v>01.0000</v>
      </c>
      <c r="B4" t="s">
        <v>10</v>
      </c>
      <c r="C4" t="s">
        <v>7</v>
      </c>
      <c r="D4" t="s">
        <v>11</v>
      </c>
      <c r="E4" t="str">
        <f>"01.0000"</f>
        <v>01.0000</v>
      </c>
      <c r="F4" t="s">
        <v>10</v>
      </c>
    </row>
    <row r="5" spans="1:6" x14ac:dyDescent="0.25">
      <c r="A5" t="str">
        <f>"01.01"</f>
        <v>01.01</v>
      </c>
      <c r="B5" t="s">
        <v>12</v>
      </c>
      <c r="C5" t="s">
        <v>7</v>
      </c>
      <c r="D5" t="s">
        <v>11</v>
      </c>
      <c r="E5" t="str">
        <f>"01.01"</f>
        <v>01.01</v>
      </c>
      <c r="F5" t="s">
        <v>12</v>
      </c>
    </row>
    <row r="6" spans="1:6" x14ac:dyDescent="0.25">
      <c r="A6" t="str">
        <f>"01.0101"</f>
        <v>01.0101</v>
      </c>
      <c r="B6" t="s">
        <v>13</v>
      </c>
      <c r="C6" t="s">
        <v>7</v>
      </c>
      <c r="D6" t="s">
        <v>11</v>
      </c>
      <c r="E6" t="str">
        <f>"01.0101"</f>
        <v>01.0101</v>
      </c>
      <c r="F6" t="s">
        <v>13</v>
      </c>
    </row>
    <row r="7" spans="1:6" x14ac:dyDescent="0.25">
      <c r="A7" t="str">
        <f>"01.0102"</f>
        <v>01.0102</v>
      </c>
      <c r="B7" t="s">
        <v>14</v>
      </c>
      <c r="C7" t="s">
        <v>7</v>
      </c>
      <c r="D7" t="s">
        <v>11</v>
      </c>
      <c r="E7" t="str">
        <f>"01.0102"</f>
        <v>01.0102</v>
      </c>
      <c r="F7" t="s">
        <v>14</v>
      </c>
    </row>
    <row r="8" spans="1:6" x14ac:dyDescent="0.25">
      <c r="A8" t="str">
        <f>"01.0103"</f>
        <v>01.0103</v>
      </c>
      <c r="B8" t="s">
        <v>15</v>
      </c>
      <c r="C8" t="s">
        <v>7</v>
      </c>
      <c r="D8" t="s">
        <v>11</v>
      </c>
      <c r="E8" t="str">
        <f>"01.0103"</f>
        <v>01.0103</v>
      </c>
      <c r="F8" t="s">
        <v>15</v>
      </c>
    </row>
    <row r="9" spans="1:6" x14ac:dyDescent="0.25">
      <c r="A9" t="str">
        <f>"01.0104"</f>
        <v>01.0104</v>
      </c>
      <c r="B9" t="s">
        <v>16</v>
      </c>
      <c r="C9" t="s">
        <v>7</v>
      </c>
      <c r="D9" t="s">
        <v>11</v>
      </c>
      <c r="E9" t="str">
        <f>"01.0104"</f>
        <v>01.0104</v>
      </c>
      <c r="F9" t="s">
        <v>16</v>
      </c>
    </row>
    <row r="10" spans="1:6" x14ac:dyDescent="0.25">
      <c r="A10" t="str">
        <f>"01.0105"</f>
        <v>01.0105</v>
      </c>
      <c r="B10" t="s">
        <v>17</v>
      </c>
      <c r="C10" t="s">
        <v>7</v>
      </c>
      <c r="D10" t="s">
        <v>11</v>
      </c>
      <c r="E10" t="str">
        <f>"01.0105"</f>
        <v>01.0105</v>
      </c>
      <c r="F10" t="s">
        <v>17</v>
      </c>
    </row>
    <row r="11" spans="1:6" x14ac:dyDescent="0.25">
      <c r="A11" t="str">
        <f>"01.0106"</f>
        <v>01.0106</v>
      </c>
      <c r="B11" t="s">
        <v>18</v>
      </c>
      <c r="C11" t="s">
        <v>7</v>
      </c>
      <c r="D11" t="s">
        <v>8</v>
      </c>
      <c r="E11" t="str">
        <f>"01.0106"</f>
        <v>01.0106</v>
      </c>
      <c r="F11" t="s">
        <v>19</v>
      </c>
    </row>
    <row r="12" spans="1:6" x14ac:dyDescent="0.25">
      <c r="A12" t="str">
        <f>"01.0199"</f>
        <v>01.0199</v>
      </c>
      <c r="B12" t="s">
        <v>20</v>
      </c>
      <c r="C12" t="s">
        <v>7</v>
      </c>
      <c r="D12" t="s">
        <v>11</v>
      </c>
      <c r="E12" t="str">
        <f>"01.0199"</f>
        <v>01.0199</v>
      </c>
      <c r="F12" t="s">
        <v>20</v>
      </c>
    </row>
    <row r="13" spans="1:6" x14ac:dyDescent="0.25">
      <c r="A13" t="str">
        <f>"01.02"</f>
        <v>01.02</v>
      </c>
      <c r="B13" t="s">
        <v>21</v>
      </c>
      <c r="C13" t="s">
        <v>7</v>
      </c>
      <c r="D13" t="s">
        <v>11</v>
      </c>
      <c r="E13" t="str">
        <f>"01.02"</f>
        <v>01.02</v>
      </c>
      <c r="F13" t="s">
        <v>21</v>
      </c>
    </row>
    <row r="14" spans="1:6" x14ac:dyDescent="0.25">
      <c r="A14" t="str">
        <f>"01.0201"</f>
        <v>01.0201</v>
      </c>
      <c r="B14" t="s">
        <v>22</v>
      </c>
      <c r="C14" t="s">
        <v>7</v>
      </c>
      <c r="D14" t="s">
        <v>11</v>
      </c>
      <c r="E14" t="str">
        <f>"01.0201"</f>
        <v>01.0201</v>
      </c>
      <c r="F14" t="s">
        <v>22</v>
      </c>
    </row>
    <row r="15" spans="1:6" x14ac:dyDescent="0.25">
      <c r="A15" t="str">
        <f>"01.0204"</f>
        <v>01.0204</v>
      </c>
      <c r="B15" t="s">
        <v>23</v>
      </c>
      <c r="C15" t="s">
        <v>7</v>
      </c>
      <c r="D15" t="s">
        <v>11</v>
      </c>
      <c r="E15" t="str">
        <f>"01.0204"</f>
        <v>01.0204</v>
      </c>
      <c r="F15" t="s">
        <v>23</v>
      </c>
    </row>
    <row r="16" spans="1:6" x14ac:dyDescent="0.25">
      <c r="A16" t="str">
        <f>"01.0205"</f>
        <v>01.0205</v>
      </c>
      <c r="B16" t="s">
        <v>24</v>
      </c>
      <c r="C16" t="s">
        <v>7</v>
      </c>
      <c r="D16" t="s">
        <v>8</v>
      </c>
      <c r="E16" t="str">
        <f>"01.0205"</f>
        <v>01.0205</v>
      </c>
      <c r="F16" t="s">
        <v>25</v>
      </c>
    </row>
    <row r="17" spans="1:6" x14ac:dyDescent="0.25">
      <c r="C17" t="s">
        <v>26</v>
      </c>
      <c r="D17" t="s">
        <v>11</v>
      </c>
      <c r="E17" t="str">
        <f>"01.0207"</f>
        <v>01.0207</v>
      </c>
      <c r="F17" t="s">
        <v>27</v>
      </c>
    </row>
    <row r="18" spans="1:6" x14ac:dyDescent="0.25">
      <c r="A18" t="str">
        <f>"01.0299"</f>
        <v>01.0299</v>
      </c>
      <c r="B18" t="s">
        <v>28</v>
      </c>
      <c r="C18" t="s">
        <v>7</v>
      </c>
      <c r="D18" t="s">
        <v>11</v>
      </c>
      <c r="E18" t="str">
        <f>"01.0299"</f>
        <v>01.0299</v>
      </c>
      <c r="F18" t="s">
        <v>28</v>
      </c>
    </row>
    <row r="19" spans="1:6" x14ac:dyDescent="0.25">
      <c r="A19" t="str">
        <f>"01.03"</f>
        <v>01.03</v>
      </c>
      <c r="B19" t="s">
        <v>29</v>
      </c>
      <c r="C19" t="s">
        <v>7</v>
      </c>
      <c r="D19" t="s">
        <v>11</v>
      </c>
      <c r="E19" t="str">
        <f>"01.03"</f>
        <v>01.03</v>
      </c>
      <c r="F19" t="s">
        <v>29</v>
      </c>
    </row>
    <row r="20" spans="1:6" x14ac:dyDescent="0.25">
      <c r="A20" t="str">
        <f>"01.0301"</f>
        <v>01.0301</v>
      </c>
      <c r="B20" t="s">
        <v>30</v>
      </c>
      <c r="C20" t="s">
        <v>7</v>
      </c>
      <c r="D20" t="s">
        <v>11</v>
      </c>
      <c r="E20" t="str">
        <f>"01.0301"</f>
        <v>01.0301</v>
      </c>
      <c r="F20" t="s">
        <v>30</v>
      </c>
    </row>
    <row r="21" spans="1:6" x14ac:dyDescent="0.25">
      <c r="A21" t="str">
        <f>"01.0302"</f>
        <v>01.0302</v>
      </c>
      <c r="B21" t="s">
        <v>31</v>
      </c>
      <c r="C21" t="s">
        <v>7</v>
      </c>
      <c r="D21" t="s">
        <v>11</v>
      </c>
      <c r="E21" t="str">
        <f>"01.0302"</f>
        <v>01.0302</v>
      </c>
      <c r="F21" t="s">
        <v>31</v>
      </c>
    </row>
    <row r="22" spans="1:6" x14ac:dyDescent="0.25">
      <c r="A22" t="str">
        <f>"01.0303"</f>
        <v>01.0303</v>
      </c>
      <c r="B22" t="s">
        <v>32</v>
      </c>
      <c r="C22" t="s">
        <v>7</v>
      </c>
      <c r="D22" t="s">
        <v>11</v>
      </c>
      <c r="E22" t="str">
        <f>"01.0303"</f>
        <v>01.0303</v>
      </c>
      <c r="F22" t="s">
        <v>32</v>
      </c>
    </row>
    <row r="23" spans="1:6" x14ac:dyDescent="0.25">
      <c r="A23" t="str">
        <f>"01.0304"</f>
        <v>01.0304</v>
      </c>
      <c r="B23" t="s">
        <v>33</v>
      </c>
      <c r="C23" t="s">
        <v>7</v>
      </c>
      <c r="D23" t="s">
        <v>11</v>
      </c>
      <c r="E23" t="str">
        <f>"01.0304"</f>
        <v>01.0304</v>
      </c>
      <c r="F23" t="s">
        <v>33</v>
      </c>
    </row>
    <row r="24" spans="1:6" x14ac:dyDescent="0.25">
      <c r="A24" t="str">
        <f>"01.0306"</f>
        <v>01.0306</v>
      </c>
      <c r="B24" t="s">
        <v>34</v>
      </c>
      <c r="C24" t="s">
        <v>7</v>
      </c>
      <c r="D24" t="s">
        <v>11</v>
      </c>
      <c r="E24" t="str">
        <f>"01.0306"</f>
        <v>01.0306</v>
      </c>
      <c r="F24" t="s">
        <v>34</v>
      </c>
    </row>
    <row r="25" spans="1:6" x14ac:dyDescent="0.25">
      <c r="A25" t="str">
        <f>"01.0307"</f>
        <v>01.0307</v>
      </c>
      <c r="B25" t="s">
        <v>35</v>
      </c>
      <c r="C25" t="s">
        <v>7</v>
      </c>
      <c r="D25" t="s">
        <v>11</v>
      </c>
      <c r="E25" t="str">
        <f>"01.0307"</f>
        <v>01.0307</v>
      </c>
      <c r="F25" t="s">
        <v>35</v>
      </c>
    </row>
    <row r="26" spans="1:6" x14ac:dyDescent="0.25">
      <c r="A26" t="str">
        <f>"01.0308"</f>
        <v>01.0308</v>
      </c>
      <c r="B26" t="s">
        <v>36</v>
      </c>
      <c r="C26" t="s">
        <v>7</v>
      </c>
      <c r="D26" t="s">
        <v>11</v>
      </c>
      <c r="E26" t="str">
        <f>"01.0308"</f>
        <v>01.0308</v>
      </c>
      <c r="F26" t="s">
        <v>36</v>
      </c>
    </row>
    <row r="27" spans="1:6" x14ac:dyDescent="0.25">
      <c r="A27" t="str">
        <f>"01.0309"</f>
        <v>01.0309</v>
      </c>
      <c r="B27" t="s">
        <v>37</v>
      </c>
      <c r="C27" t="s">
        <v>38</v>
      </c>
      <c r="D27" t="s">
        <v>11</v>
      </c>
      <c r="E27" t="str">
        <f>"01.1004"</f>
        <v>01.1004</v>
      </c>
      <c r="F27" t="s">
        <v>37</v>
      </c>
    </row>
    <row r="28" spans="1:6" x14ac:dyDescent="0.25">
      <c r="C28" t="s">
        <v>26</v>
      </c>
      <c r="D28" t="s">
        <v>11</v>
      </c>
      <c r="E28" t="str">
        <f>"01.0310"</f>
        <v>01.0310</v>
      </c>
      <c r="F28" t="s">
        <v>39</v>
      </c>
    </row>
    <row r="29" spans="1:6" x14ac:dyDescent="0.25">
      <c r="A29" t="str">
        <f>"01.0399"</f>
        <v>01.0399</v>
      </c>
      <c r="B29" t="s">
        <v>40</v>
      </c>
      <c r="C29" t="s">
        <v>7</v>
      </c>
      <c r="D29" t="s">
        <v>11</v>
      </c>
      <c r="E29" t="str">
        <f>"01.0399"</f>
        <v>01.0399</v>
      </c>
      <c r="F29" t="s">
        <v>40</v>
      </c>
    </row>
    <row r="30" spans="1:6" x14ac:dyDescent="0.25">
      <c r="A30" t="str">
        <f>"01.04"</f>
        <v>01.04</v>
      </c>
      <c r="B30" t="s">
        <v>41</v>
      </c>
      <c r="C30" t="s">
        <v>7</v>
      </c>
      <c r="D30" t="s">
        <v>11</v>
      </c>
      <c r="E30" t="str">
        <f>"01.04"</f>
        <v>01.04</v>
      </c>
      <c r="F30" t="s">
        <v>41</v>
      </c>
    </row>
    <row r="31" spans="1:6" x14ac:dyDescent="0.25">
      <c r="A31" t="str">
        <f>"01.0401"</f>
        <v>01.0401</v>
      </c>
      <c r="B31" t="s">
        <v>41</v>
      </c>
      <c r="C31" t="s">
        <v>7</v>
      </c>
      <c r="D31" t="s">
        <v>11</v>
      </c>
      <c r="E31" t="str">
        <f>"01.0401"</f>
        <v>01.0401</v>
      </c>
      <c r="F31" t="s">
        <v>41</v>
      </c>
    </row>
    <row r="32" spans="1:6" x14ac:dyDescent="0.25">
      <c r="C32" t="s">
        <v>26</v>
      </c>
      <c r="D32" t="s">
        <v>11</v>
      </c>
      <c r="E32" t="str">
        <f>"01.0480"</f>
        <v>01.0480</v>
      </c>
      <c r="F32" t="s">
        <v>42</v>
      </c>
    </row>
    <row r="33" spans="1:6" x14ac:dyDescent="0.25">
      <c r="A33" t="str">
        <f>"01.05"</f>
        <v>01.05</v>
      </c>
      <c r="B33" t="s">
        <v>43</v>
      </c>
      <c r="C33" t="s">
        <v>7</v>
      </c>
      <c r="D33" t="s">
        <v>11</v>
      </c>
      <c r="E33" t="str">
        <f>"01.05"</f>
        <v>01.05</v>
      </c>
      <c r="F33" t="s">
        <v>43</v>
      </c>
    </row>
    <row r="34" spans="1:6" x14ac:dyDescent="0.25">
      <c r="A34" t="str">
        <f>"01.0504"</f>
        <v>01.0504</v>
      </c>
      <c r="B34" t="s">
        <v>44</v>
      </c>
      <c r="C34" t="s">
        <v>7</v>
      </c>
      <c r="D34" t="s">
        <v>11</v>
      </c>
      <c r="E34" t="str">
        <f>"01.0504"</f>
        <v>01.0504</v>
      </c>
      <c r="F34" t="s">
        <v>44</v>
      </c>
    </row>
    <row r="35" spans="1:6" x14ac:dyDescent="0.25">
      <c r="A35" t="str">
        <f>"01.0505"</f>
        <v>01.0505</v>
      </c>
      <c r="B35" t="s">
        <v>45</v>
      </c>
      <c r="C35" t="s">
        <v>7</v>
      </c>
      <c r="D35" t="s">
        <v>11</v>
      </c>
      <c r="E35" t="str">
        <f>"01.0505"</f>
        <v>01.0505</v>
      </c>
      <c r="F35" t="s">
        <v>45</v>
      </c>
    </row>
    <row r="36" spans="1:6" x14ac:dyDescent="0.25">
      <c r="A36" t="str">
        <f>"01.0507"</f>
        <v>01.0507</v>
      </c>
      <c r="B36" t="s">
        <v>46</v>
      </c>
      <c r="C36" t="s">
        <v>7</v>
      </c>
      <c r="D36" t="s">
        <v>11</v>
      </c>
      <c r="E36" t="str">
        <f>"01.0507"</f>
        <v>01.0507</v>
      </c>
      <c r="F36" t="s">
        <v>46</v>
      </c>
    </row>
    <row r="37" spans="1:6" x14ac:dyDescent="0.25">
      <c r="A37" t="str">
        <f>"01.0508"</f>
        <v>01.0508</v>
      </c>
      <c r="B37" t="s">
        <v>47</v>
      </c>
      <c r="C37" t="s">
        <v>7</v>
      </c>
      <c r="D37" t="s">
        <v>11</v>
      </c>
      <c r="E37" t="str">
        <f>"01.0508"</f>
        <v>01.0508</v>
      </c>
      <c r="F37" t="s">
        <v>47</v>
      </c>
    </row>
    <row r="38" spans="1:6" x14ac:dyDescent="0.25">
      <c r="C38" t="s">
        <v>26</v>
      </c>
      <c r="D38" t="s">
        <v>11</v>
      </c>
      <c r="E38" t="str">
        <f>"01.0509"</f>
        <v>01.0509</v>
      </c>
      <c r="F38" t="s">
        <v>48</v>
      </c>
    </row>
    <row r="39" spans="1:6" x14ac:dyDescent="0.25">
      <c r="A39" t="str">
        <f>"01.0599"</f>
        <v>01.0599</v>
      </c>
      <c r="B39" t="s">
        <v>49</v>
      </c>
      <c r="C39" t="s">
        <v>7</v>
      </c>
      <c r="D39" t="s">
        <v>11</v>
      </c>
      <c r="E39" t="str">
        <f>"01.0599"</f>
        <v>01.0599</v>
      </c>
      <c r="F39" t="s">
        <v>49</v>
      </c>
    </row>
    <row r="40" spans="1:6" x14ac:dyDescent="0.25">
      <c r="A40" t="str">
        <f>"01.06"</f>
        <v>01.06</v>
      </c>
      <c r="B40" t="s">
        <v>50</v>
      </c>
      <c r="C40" t="s">
        <v>7</v>
      </c>
      <c r="D40" t="s">
        <v>11</v>
      </c>
      <c r="E40" t="str">
        <f>"01.06"</f>
        <v>01.06</v>
      </c>
      <c r="F40" t="s">
        <v>50</v>
      </c>
    </row>
    <row r="41" spans="1:6" x14ac:dyDescent="0.25">
      <c r="A41" t="str">
        <f>"01.0601"</f>
        <v>01.0601</v>
      </c>
      <c r="B41" t="s">
        <v>51</v>
      </c>
      <c r="C41" t="s">
        <v>7</v>
      </c>
      <c r="D41" t="s">
        <v>11</v>
      </c>
      <c r="E41" t="str">
        <f>"01.0601"</f>
        <v>01.0601</v>
      </c>
      <c r="F41" t="s">
        <v>51</v>
      </c>
    </row>
    <row r="42" spans="1:6" x14ac:dyDescent="0.25">
      <c r="A42" t="str">
        <f>"01.0603"</f>
        <v>01.0603</v>
      </c>
      <c r="B42" t="s">
        <v>52</v>
      </c>
      <c r="C42" t="s">
        <v>7</v>
      </c>
      <c r="D42" t="s">
        <v>11</v>
      </c>
      <c r="E42" t="str">
        <f>"01.0603"</f>
        <v>01.0603</v>
      </c>
      <c r="F42" t="s">
        <v>52</v>
      </c>
    </row>
    <row r="43" spans="1:6" x14ac:dyDescent="0.25">
      <c r="A43" t="str">
        <f>"01.0604"</f>
        <v>01.0604</v>
      </c>
      <c r="B43" t="s">
        <v>53</v>
      </c>
      <c r="C43" t="s">
        <v>7</v>
      </c>
      <c r="D43" t="s">
        <v>11</v>
      </c>
      <c r="E43" t="str">
        <f>"01.0604"</f>
        <v>01.0604</v>
      </c>
      <c r="F43" t="s">
        <v>53</v>
      </c>
    </row>
    <row r="44" spans="1:6" x14ac:dyDescent="0.25">
      <c r="A44" t="str">
        <f>"01.0605"</f>
        <v>01.0605</v>
      </c>
      <c r="B44" t="s">
        <v>54</v>
      </c>
      <c r="C44" t="s">
        <v>7</v>
      </c>
      <c r="D44" t="s">
        <v>11</v>
      </c>
      <c r="E44" t="str">
        <f>"01.0605"</f>
        <v>01.0605</v>
      </c>
      <c r="F44" t="s">
        <v>54</v>
      </c>
    </row>
    <row r="45" spans="1:6" x14ac:dyDescent="0.25">
      <c r="A45" t="str">
        <f>"01.0606"</f>
        <v>01.0606</v>
      </c>
      <c r="B45" t="s">
        <v>55</v>
      </c>
      <c r="C45" t="s">
        <v>7</v>
      </c>
      <c r="D45" t="s">
        <v>11</v>
      </c>
      <c r="E45" t="str">
        <f>"01.0606"</f>
        <v>01.0606</v>
      </c>
      <c r="F45" t="s">
        <v>55</v>
      </c>
    </row>
    <row r="46" spans="1:6" x14ac:dyDescent="0.25">
      <c r="A46" t="str">
        <f>"01.0607"</f>
        <v>01.0607</v>
      </c>
      <c r="B46" t="s">
        <v>56</v>
      </c>
      <c r="C46" t="s">
        <v>7</v>
      </c>
      <c r="D46" t="s">
        <v>11</v>
      </c>
      <c r="E46" t="str">
        <f>"01.0607"</f>
        <v>01.0607</v>
      </c>
      <c r="F46" t="s">
        <v>56</v>
      </c>
    </row>
    <row r="47" spans="1:6" x14ac:dyDescent="0.25">
      <c r="A47" t="str">
        <f>"01.0608"</f>
        <v>01.0608</v>
      </c>
      <c r="B47" t="s">
        <v>57</v>
      </c>
      <c r="C47" t="s">
        <v>7</v>
      </c>
      <c r="D47" t="s">
        <v>11</v>
      </c>
      <c r="E47" t="str">
        <f>"01.0608"</f>
        <v>01.0608</v>
      </c>
      <c r="F47" t="s">
        <v>57</v>
      </c>
    </row>
    <row r="48" spans="1:6" x14ac:dyDescent="0.25">
      <c r="C48" t="s">
        <v>26</v>
      </c>
      <c r="D48" t="s">
        <v>11</v>
      </c>
      <c r="E48" t="str">
        <f>"01.0609"</f>
        <v>01.0609</v>
      </c>
      <c r="F48" t="s">
        <v>58</v>
      </c>
    </row>
    <row r="49" spans="1:6" x14ac:dyDescent="0.25">
      <c r="C49" t="s">
        <v>26</v>
      </c>
      <c r="D49" t="s">
        <v>11</v>
      </c>
      <c r="E49" t="str">
        <f>"01.0610"</f>
        <v>01.0610</v>
      </c>
      <c r="F49" t="s">
        <v>59</v>
      </c>
    </row>
    <row r="50" spans="1:6" x14ac:dyDescent="0.25">
      <c r="C50" t="s">
        <v>26</v>
      </c>
      <c r="D50" t="s">
        <v>11</v>
      </c>
      <c r="E50" t="str">
        <f>"01.0680"</f>
        <v>01.0680</v>
      </c>
      <c r="F50" t="s">
        <v>42</v>
      </c>
    </row>
    <row r="51" spans="1:6" x14ac:dyDescent="0.25">
      <c r="A51" t="str">
        <f>"01.0699"</f>
        <v>01.0699</v>
      </c>
      <c r="B51" t="s">
        <v>60</v>
      </c>
      <c r="C51" t="s">
        <v>7</v>
      </c>
      <c r="D51" t="s">
        <v>11</v>
      </c>
      <c r="E51" t="str">
        <f>"01.0699"</f>
        <v>01.0699</v>
      </c>
      <c r="F51" t="s">
        <v>60</v>
      </c>
    </row>
    <row r="52" spans="1:6" x14ac:dyDescent="0.25">
      <c r="A52" t="str">
        <f>"01.07"</f>
        <v>01.07</v>
      </c>
      <c r="B52" t="s">
        <v>61</v>
      </c>
      <c r="C52" t="s">
        <v>7</v>
      </c>
      <c r="D52" t="s">
        <v>11</v>
      </c>
      <c r="E52" t="str">
        <f>"01.07"</f>
        <v>01.07</v>
      </c>
      <c r="F52" t="s">
        <v>61</v>
      </c>
    </row>
    <row r="53" spans="1:6" x14ac:dyDescent="0.25">
      <c r="A53" t="str">
        <f>"01.0701"</f>
        <v>01.0701</v>
      </c>
      <c r="B53" t="s">
        <v>61</v>
      </c>
      <c r="C53" t="s">
        <v>7</v>
      </c>
      <c r="D53" t="s">
        <v>11</v>
      </c>
      <c r="E53" t="str">
        <f>"01.0701"</f>
        <v>01.0701</v>
      </c>
      <c r="F53" t="s">
        <v>61</v>
      </c>
    </row>
    <row r="54" spans="1:6" x14ac:dyDescent="0.25">
      <c r="A54" t="str">
        <f>"01.08"</f>
        <v>01.08</v>
      </c>
      <c r="B54" t="s">
        <v>62</v>
      </c>
      <c r="C54" t="s">
        <v>7</v>
      </c>
      <c r="D54" t="s">
        <v>11</v>
      </c>
      <c r="E54" t="str">
        <f>"01.08"</f>
        <v>01.08</v>
      </c>
      <c r="F54" t="s">
        <v>62</v>
      </c>
    </row>
    <row r="55" spans="1:6" x14ac:dyDescent="0.25">
      <c r="A55" t="str">
        <f>"01.0801"</f>
        <v>01.0801</v>
      </c>
      <c r="B55" t="s">
        <v>63</v>
      </c>
      <c r="C55" t="s">
        <v>7</v>
      </c>
      <c r="D55" t="s">
        <v>11</v>
      </c>
      <c r="E55" t="str">
        <f>"01.0801"</f>
        <v>01.0801</v>
      </c>
      <c r="F55" t="s">
        <v>63</v>
      </c>
    </row>
    <row r="56" spans="1:6" x14ac:dyDescent="0.25">
      <c r="A56" t="str">
        <f>"01.0802"</f>
        <v>01.0802</v>
      </c>
      <c r="B56" t="s">
        <v>64</v>
      </c>
      <c r="C56" t="s">
        <v>7</v>
      </c>
      <c r="D56" t="s">
        <v>11</v>
      </c>
      <c r="E56" t="str">
        <f>"01.0802"</f>
        <v>01.0802</v>
      </c>
      <c r="F56" t="s">
        <v>64</v>
      </c>
    </row>
    <row r="57" spans="1:6" x14ac:dyDescent="0.25">
      <c r="A57" t="str">
        <f>"01.0899"</f>
        <v>01.0899</v>
      </c>
      <c r="B57" t="s">
        <v>65</v>
      </c>
      <c r="C57" t="s">
        <v>7</v>
      </c>
      <c r="D57" t="s">
        <v>11</v>
      </c>
      <c r="E57" t="str">
        <f>"01.0899"</f>
        <v>01.0899</v>
      </c>
      <c r="F57" t="s">
        <v>65</v>
      </c>
    </row>
    <row r="58" spans="1:6" x14ac:dyDescent="0.25">
      <c r="A58" t="str">
        <f>"01.09"</f>
        <v>01.09</v>
      </c>
      <c r="B58" t="s">
        <v>66</v>
      </c>
      <c r="C58" t="s">
        <v>7</v>
      </c>
      <c r="D58" t="s">
        <v>11</v>
      </c>
      <c r="E58" t="str">
        <f>"01.09"</f>
        <v>01.09</v>
      </c>
      <c r="F58" t="s">
        <v>66</v>
      </c>
    </row>
    <row r="59" spans="1:6" x14ac:dyDescent="0.25">
      <c r="A59" t="str">
        <f>"01.0901"</f>
        <v>01.0901</v>
      </c>
      <c r="B59" t="s">
        <v>67</v>
      </c>
      <c r="C59" t="s">
        <v>7</v>
      </c>
      <c r="D59" t="s">
        <v>11</v>
      </c>
      <c r="E59" t="str">
        <f>"01.0901"</f>
        <v>01.0901</v>
      </c>
      <c r="F59" t="s">
        <v>67</v>
      </c>
    </row>
    <row r="60" spans="1:6" x14ac:dyDescent="0.25">
      <c r="A60" t="str">
        <f>"01.0902"</f>
        <v>01.0902</v>
      </c>
      <c r="B60" t="s">
        <v>68</v>
      </c>
      <c r="C60" t="s">
        <v>7</v>
      </c>
      <c r="D60" t="s">
        <v>11</v>
      </c>
      <c r="E60" t="str">
        <f>"01.0902"</f>
        <v>01.0902</v>
      </c>
      <c r="F60" t="s">
        <v>68</v>
      </c>
    </row>
    <row r="61" spans="1:6" x14ac:dyDescent="0.25">
      <c r="A61" t="str">
        <f>"01.0903"</f>
        <v>01.0903</v>
      </c>
      <c r="B61" t="s">
        <v>69</v>
      </c>
      <c r="C61" t="s">
        <v>7</v>
      </c>
      <c r="D61" t="s">
        <v>11</v>
      </c>
      <c r="E61" t="str">
        <f>"01.0903"</f>
        <v>01.0903</v>
      </c>
      <c r="F61" t="s">
        <v>69</v>
      </c>
    </row>
    <row r="62" spans="1:6" x14ac:dyDescent="0.25">
      <c r="A62" t="str">
        <f>"01.0904"</f>
        <v>01.0904</v>
      </c>
      <c r="B62" t="s">
        <v>70</v>
      </c>
      <c r="C62" t="s">
        <v>7</v>
      </c>
      <c r="D62" t="s">
        <v>11</v>
      </c>
      <c r="E62" t="str">
        <f>"01.0904"</f>
        <v>01.0904</v>
      </c>
      <c r="F62" t="s">
        <v>70</v>
      </c>
    </row>
    <row r="63" spans="1:6" x14ac:dyDescent="0.25">
      <c r="A63" t="str">
        <f>"01.0905"</f>
        <v>01.0905</v>
      </c>
      <c r="B63" t="s">
        <v>71</v>
      </c>
      <c r="C63" t="s">
        <v>7</v>
      </c>
      <c r="D63" t="s">
        <v>11</v>
      </c>
      <c r="E63" t="str">
        <f>"01.0905"</f>
        <v>01.0905</v>
      </c>
      <c r="F63" t="s">
        <v>71</v>
      </c>
    </row>
    <row r="64" spans="1:6" x14ac:dyDescent="0.25">
      <c r="A64" t="str">
        <f>"01.0906"</f>
        <v>01.0906</v>
      </c>
      <c r="B64" t="s">
        <v>72</v>
      </c>
      <c r="C64" t="s">
        <v>7</v>
      </c>
      <c r="D64" t="s">
        <v>11</v>
      </c>
      <c r="E64" t="str">
        <f>"01.0906"</f>
        <v>01.0906</v>
      </c>
      <c r="F64" t="s">
        <v>72</v>
      </c>
    </row>
    <row r="65" spans="1:6" x14ac:dyDescent="0.25">
      <c r="A65" t="str">
        <f>"01.0907"</f>
        <v>01.0907</v>
      </c>
      <c r="B65" t="s">
        <v>73</v>
      </c>
      <c r="C65" t="s">
        <v>7</v>
      </c>
      <c r="D65" t="s">
        <v>11</v>
      </c>
      <c r="E65" t="str">
        <f>"01.0907"</f>
        <v>01.0907</v>
      </c>
      <c r="F65" t="s">
        <v>73</v>
      </c>
    </row>
    <row r="66" spans="1:6" x14ac:dyDescent="0.25">
      <c r="A66" t="str">
        <f>"01.0999"</f>
        <v>01.0999</v>
      </c>
      <c r="B66" t="s">
        <v>74</v>
      </c>
      <c r="C66" t="s">
        <v>7</v>
      </c>
      <c r="D66" t="s">
        <v>11</v>
      </c>
      <c r="E66" t="str">
        <f>"01.0999"</f>
        <v>01.0999</v>
      </c>
      <c r="F66" t="s">
        <v>74</v>
      </c>
    </row>
    <row r="67" spans="1:6" x14ac:dyDescent="0.25">
      <c r="A67" t="str">
        <f>"01.10"</f>
        <v>01.10</v>
      </c>
      <c r="B67" t="s">
        <v>75</v>
      </c>
      <c r="C67" t="s">
        <v>7</v>
      </c>
      <c r="D67" t="s">
        <v>11</v>
      </c>
      <c r="E67" t="str">
        <f>"01.10"</f>
        <v>01.10</v>
      </c>
      <c r="F67" t="s">
        <v>75</v>
      </c>
    </row>
    <row r="68" spans="1:6" x14ac:dyDescent="0.25">
      <c r="A68" t="str">
        <f>"01.1001"</f>
        <v>01.1001</v>
      </c>
      <c r="B68" t="s">
        <v>76</v>
      </c>
      <c r="C68" t="s">
        <v>7</v>
      </c>
      <c r="D68" t="s">
        <v>11</v>
      </c>
      <c r="E68" t="str">
        <f>"01.1001"</f>
        <v>01.1001</v>
      </c>
      <c r="F68" t="s">
        <v>76</v>
      </c>
    </row>
    <row r="69" spans="1:6" x14ac:dyDescent="0.25">
      <c r="A69" t="str">
        <f>"01.1002"</f>
        <v>01.1002</v>
      </c>
      <c r="B69" t="s">
        <v>77</v>
      </c>
      <c r="C69" t="s">
        <v>7</v>
      </c>
      <c r="D69" t="s">
        <v>11</v>
      </c>
      <c r="E69" t="str">
        <f>"01.1002"</f>
        <v>01.1002</v>
      </c>
      <c r="F69" t="s">
        <v>77</v>
      </c>
    </row>
    <row r="70" spans="1:6" x14ac:dyDescent="0.25">
      <c r="C70" t="s">
        <v>26</v>
      </c>
      <c r="D70" t="s">
        <v>11</v>
      </c>
      <c r="E70" t="str">
        <f>"01.1003"</f>
        <v>01.1003</v>
      </c>
      <c r="F70" t="s">
        <v>78</v>
      </c>
    </row>
    <row r="71" spans="1:6" x14ac:dyDescent="0.25">
      <c r="C71" t="s">
        <v>26</v>
      </c>
      <c r="D71" t="s">
        <v>11</v>
      </c>
      <c r="E71" t="str">
        <f>"01.1005"</f>
        <v>01.1005</v>
      </c>
      <c r="F71" t="s">
        <v>79</v>
      </c>
    </row>
    <row r="72" spans="1:6" x14ac:dyDescent="0.25">
      <c r="A72" t="str">
        <f>"01.1099"</f>
        <v>01.1099</v>
      </c>
      <c r="B72" t="s">
        <v>80</v>
      </c>
      <c r="C72" t="s">
        <v>7</v>
      </c>
      <c r="D72" t="s">
        <v>11</v>
      </c>
      <c r="E72" t="str">
        <f>"01.1099"</f>
        <v>01.1099</v>
      </c>
      <c r="F72" t="s">
        <v>80</v>
      </c>
    </row>
    <row r="73" spans="1:6" x14ac:dyDescent="0.25">
      <c r="A73" t="str">
        <f>"01.11"</f>
        <v>01.11</v>
      </c>
      <c r="B73" t="s">
        <v>81</v>
      </c>
      <c r="C73" t="s">
        <v>7</v>
      </c>
      <c r="D73" t="s">
        <v>11</v>
      </c>
      <c r="E73" t="str">
        <f>"01.11"</f>
        <v>01.11</v>
      </c>
      <c r="F73" t="s">
        <v>81</v>
      </c>
    </row>
    <row r="74" spans="1:6" x14ac:dyDescent="0.25">
      <c r="A74" t="str">
        <f>"01.1101"</f>
        <v>01.1101</v>
      </c>
      <c r="B74" t="s">
        <v>82</v>
      </c>
      <c r="C74" t="s">
        <v>7</v>
      </c>
      <c r="D74" t="s">
        <v>11</v>
      </c>
      <c r="E74" t="str">
        <f>"01.1101"</f>
        <v>01.1101</v>
      </c>
      <c r="F74" t="s">
        <v>82</v>
      </c>
    </row>
    <row r="75" spans="1:6" x14ac:dyDescent="0.25">
      <c r="A75" t="str">
        <f>"01.1102"</f>
        <v>01.1102</v>
      </c>
      <c r="B75" t="s">
        <v>83</v>
      </c>
      <c r="C75" t="s">
        <v>7</v>
      </c>
      <c r="D75" t="s">
        <v>11</v>
      </c>
      <c r="E75" t="str">
        <f>"01.1102"</f>
        <v>01.1102</v>
      </c>
      <c r="F75" t="s">
        <v>83</v>
      </c>
    </row>
    <row r="76" spans="1:6" x14ac:dyDescent="0.25">
      <c r="A76" t="str">
        <f>"01.1103"</f>
        <v>01.1103</v>
      </c>
      <c r="B76" t="s">
        <v>84</v>
      </c>
      <c r="C76" t="s">
        <v>7</v>
      </c>
      <c r="D76" t="s">
        <v>11</v>
      </c>
      <c r="E76" t="str">
        <f>"01.1103"</f>
        <v>01.1103</v>
      </c>
      <c r="F76" t="s">
        <v>84</v>
      </c>
    </row>
    <row r="77" spans="1:6" x14ac:dyDescent="0.25">
      <c r="A77" t="str">
        <f>"01.1104"</f>
        <v>01.1104</v>
      </c>
      <c r="B77" t="s">
        <v>85</v>
      </c>
      <c r="C77" t="s">
        <v>7</v>
      </c>
      <c r="D77" t="s">
        <v>11</v>
      </c>
      <c r="E77" t="str">
        <f>"01.1104"</f>
        <v>01.1104</v>
      </c>
      <c r="F77" t="s">
        <v>85</v>
      </c>
    </row>
    <row r="78" spans="1:6" x14ac:dyDescent="0.25">
      <c r="A78" t="str">
        <f>"01.1105"</f>
        <v>01.1105</v>
      </c>
      <c r="B78" t="s">
        <v>86</v>
      </c>
      <c r="C78" t="s">
        <v>7</v>
      </c>
      <c r="D78" t="s">
        <v>11</v>
      </c>
      <c r="E78" t="str">
        <f>"01.1105"</f>
        <v>01.1105</v>
      </c>
      <c r="F78" t="s">
        <v>86</v>
      </c>
    </row>
    <row r="79" spans="1:6" x14ac:dyDescent="0.25">
      <c r="A79" t="str">
        <f>"01.1106"</f>
        <v>01.1106</v>
      </c>
      <c r="B79" t="s">
        <v>87</v>
      </c>
      <c r="C79" t="s">
        <v>7</v>
      </c>
      <c r="D79" t="s">
        <v>11</v>
      </c>
      <c r="E79" t="str">
        <f>"01.1106"</f>
        <v>01.1106</v>
      </c>
      <c r="F79" t="s">
        <v>87</v>
      </c>
    </row>
    <row r="80" spans="1:6" x14ac:dyDescent="0.25">
      <c r="C80" t="s">
        <v>26</v>
      </c>
      <c r="D80" t="s">
        <v>11</v>
      </c>
      <c r="E80" t="str">
        <f>"01.1180"</f>
        <v>01.1180</v>
      </c>
      <c r="F80" t="s">
        <v>42</v>
      </c>
    </row>
    <row r="81" spans="1:6" x14ac:dyDescent="0.25">
      <c r="A81" t="str">
        <f>"01.1199"</f>
        <v>01.1199</v>
      </c>
      <c r="B81" t="s">
        <v>88</v>
      </c>
      <c r="C81" t="s">
        <v>7</v>
      </c>
      <c r="D81" t="s">
        <v>11</v>
      </c>
      <c r="E81" t="str">
        <f>"01.1199"</f>
        <v>01.1199</v>
      </c>
      <c r="F81" t="s">
        <v>88</v>
      </c>
    </row>
    <row r="82" spans="1:6" x14ac:dyDescent="0.25">
      <c r="A82" t="str">
        <f>"01.12"</f>
        <v>01.12</v>
      </c>
      <c r="B82" t="s">
        <v>89</v>
      </c>
      <c r="C82" t="s">
        <v>7</v>
      </c>
      <c r="D82" t="s">
        <v>11</v>
      </c>
      <c r="E82" t="str">
        <f>"01.12"</f>
        <v>01.12</v>
      </c>
      <c r="F82" t="s">
        <v>89</v>
      </c>
    </row>
    <row r="83" spans="1:6" x14ac:dyDescent="0.25">
      <c r="A83" t="str">
        <f>"01.1201"</f>
        <v>01.1201</v>
      </c>
      <c r="B83" t="s">
        <v>90</v>
      </c>
      <c r="C83" t="s">
        <v>7</v>
      </c>
      <c r="D83" t="s">
        <v>11</v>
      </c>
      <c r="E83" t="str">
        <f>"01.1201"</f>
        <v>01.1201</v>
      </c>
      <c r="F83" t="s">
        <v>90</v>
      </c>
    </row>
    <row r="84" spans="1:6" x14ac:dyDescent="0.25">
      <c r="A84" t="str">
        <f>"01.1202"</f>
        <v>01.1202</v>
      </c>
      <c r="B84" t="s">
        <v>91</v>
      </c>
      <c r="C84" t="s">
        <v>7</v>
      </c>
      <c r="D84" t="s">
        <v>11</v>
      </c>
      <c r="E84" t="str">
        <f>"01.1202"</f>
        <v>01.1202</v>
      </c>
      <c r="F84" t="s">
        <v>91</v>
      </c>
    </row>
    <row r="85" spans="1:6" x14ac:dyDescent="0.25">
      <c r="A85" t="str">
        <f>"01.1203"</f>
        <v>01.1203</v>
      </c>
      <c r="B85" t="s">
        <v>92</v>
      </c>
      <c r="C85" t="s">
        <v>7</v>
      </c>
      <c r="D85" t="s">
        <v>11</v>
      </c>
      <c r="E85" t="str">
        <f>"01.1203"</f>
        <v>01.1203</v>
      </c>
      <c r="F85" t="s">
        <v>92</v>
      </c>
    </row>
    <row r="86" spans="1:6" x14ac:dyDescent="0.25">
      <c r="A86" t="str">
        <f>"01.1299"</f>
        <v>01.1299</v>
      </c>
      <c r="B86" t="s">
        <v>93</v>
      </c>
      <c r="C86" t="s">
        <v>7</v>
      </c>
      <c r="D86" t="s">
        <v>11</v>
      </c>
      <c r="E86" t="str">
        <f>"01.1299"</f>
        <v>01.1299</v>
      </c>
      <c r="F86" t="s">
        <v>93</v>
      </c>
    </row>
    <row r="87" spans="1:6" x14ac:dyDescent="0.25">
      <c r="C87" t="s">
        <v>26</v>
      </c>
      <c r="D87" t="s">
        <v>11</v>
      </c>
      <c r="E87" t="str">
        <f>"01.13"</f>
        <v>01.13</v>
      </c>
      <c r="F87" t="s">
        <v>94</v>
      </c>
    </row>
    <row r="88" spans="1:6" x14ac:dyDescent="0.25">
      <c r="C88" t="s">
        <v>26</v>
      </c>
      <c r="D88" t="s">
        <v>11</v>
      </c>
      <c r="E88" t="str">
        <f>"01.1399"</f>
        <v>01.1399</v>
      </c>
      <c r="F88" t="s">
        <v>95</v>
      </c>
    </row>
    <row r="89" spans="1:6" x14ac:dyDescent="0.25">
      <c r="C89" t="s">
        <v>26</v>
      </c>
      <c r="D89" t="s">
        <v>11</v>
      </c>
      <c r="E89" t="str">
        <f>"01.82"</f>
        <v>01.82</v>
      </c>
      <c r="F89" t="s">
        <v>96</v>
      </c>
    </row>
    <row r="90" spans="1:6" x14ac:dyDescent="0.25">
      <c r="C90" t="s">
        <v>26</v>
      </c>
      <c r="D90" t="s">
        <v>11</v>
      </c>
      <c r="E90" t="str">
        <f>"01.8201"</f>
        <v>01.8201</v>
      </c>
      <c r="F90" t="s">
        <v>97</v>
      </c>
    </row>
    <row r="91" spans="1:6" x14ac:dyDescent="0.25">
      <c r="C91" t="s">
        <v>26</v>
      </c>
      <c r="D91" t="s">
        <v>11</v>
      </c>
      <c r="E91" t="str">
        <f>"01.8202"</f>
        <v>01.8202</v>
      </c>
      <c r="F91" t="s">
        <v>98</v>
      </c>
    </row>
    <row r="92" spans="1:6" x14ac:dyDescent="0.25">
      <c r="C92" t="s">
        <v>26</v>
      </c>
      <c r="D92" t="s">
        <v>11</v>
      </c>
      <c r="E92" t="str">
        <f>"01.8203"</f>
        <v>01.8203</v>
      </c>
      <c r="F92" t="s">
        <v>99</v>
      </c>
    </row>
    <row r="93" spans="1:6" x14ac:dyDescent="0.25">
      <c r="C93" t="s">
        <v>26</v>
      </c>
      <c r="D93" t="s">
        <v>11</v>
      </c>
      <c r="E93" t="str">
        <f>"01.8204"</f>
        <v>01.8204</v>
      </c>
      <c r="F93" t="s">
        <v>100</v>
      </c>
    </row>
    <row r="94" spans="1:6" x14ac:dyDescent="0.25">
      <c r="C94" t="s">
        <v>26</v>
      </c>
      <c r="D94" t="s">
        <v>11</v>
      </c>
      <c r="E94" t="str">
        <f>"01.8299"</f>
        <v>01.8299</v>
      </c>
      <c r="F94" t="s">
        <v>101</v>
      </c>
    </row>
    <row r="95" spans="1:6" x14ac:dyDescent="0.25">
      <c r="C95" t="s">
        <v>26</v>
      </c>
      <c r="D95" t="s">
        <v>11</v>
      </c>
      <c r="E95" t="str">
        <f>"01.83"</f>
        <v>01.83</v>
      </c>
      <c r="F95" t="s">
        <v>102</v>
      </c>
    </row>
    <row r="96" spans="1:6" x14ac:dyDescent="0.25">
      <c r="C96" t="s">
        <v>26</v>
      </c>
      <c r="D96" t="s">
        <v>11</v>
      </c>
      <c r="E96" t="str">
        <f>"01.8399"</f>
        <v>01.8399</v>
      </c>
      <c r="F96" t="s">
        <v>103</v>
      </c>
    </row>
    <row r="97" spans="1:6" x14ac:dyDescent="0.25">
      <c r="A97" t="str">
        <f>"01.99"</f>
        <v>01.99</v>
      </c>
      <c r="B97" t="s">
        <v>104</v>
      </c>
      <c r="C97" t="s">
        <v>7</v>
      </c>
      <c r="D97" t="s">
        <v>8</v>
      </c>
      <c r="E97" t="str">
        <f>"01.99"</f>
        <v>01.99</v>
      </c>
      <c r="F97" t="s">
        <v>105</v>
      </c>
    </row>
    <row r="98" spans="1:6" x14ac:dyDescent="0.25">
      <c r="A98" t="str">
        <f>"01.9999"</f>
        <v>01.9999</v>
      </c>
      <c r="B98" t="s">
        <v>104</v>
      </c>
      <c r="C98" t="s">
        <v>7</v>
      </c>
      <c r="D98" t="s">
        <v>8</v>
      </c>
      <c r="E98" t="str">
        <f>"01.9999"</f>
        <v>01.9999</v>
      </c>
      <c r="F98" t="s">
        <v>105</v>
      </c>
    </row>
    <row r="99" spans="1:6" x14ac:dyDescent="0.25">
      <c r="A99" t="str">
        <f>"03"</f>
        <v>03</v>
      </c>
      <c r="B99" t="s">
        <v>106</v>
      </c>
      <c r="C99" t="s">
        <v>7</v>
      </c>
      <c r="D99" t="s">
        <v>11</v>
      </c>
      <c r="E99" t="str">
        <f>"03"</f>
        <v>03</v>
      </c>
      <c r="F99" t="s">
        <v>106</v>
      </c>
    </row>
    <row r="100" spans="1:6" x14ac:dyDescent="0.25">
      <c r="A100" t="str">
        <f>"03.01"</f>
        <v>03.01</v>
      </c>
      <c r="B100" t="s">
        <v>107</v>
      </c>
      <c r="C100" t="s">
        <v>7</v>
      </c>
      <c r="D100" t="s">
        <v>11</v>
      </c>
      <c r="E100" t="str">
        <f>"03.01"</f>
        <v>03.01</v>
      </c>
      <c r="F100" t="s">
        <v>107</v>
      </c>
    </row>
    <row r="101" spans="1:6" x14ac:dyDescent="0.25">
      <c r="A101" t="str">
        <f>"03.0101"</f>
        <v>03.0101</v>
      </c>
      <c r="B101" t="s">
        <v>108</v>
      </c>
      <c r="C101" t="s">
        <v>7</v>
      </c>
      <c r="D101" t="s">
        <v>11</v>
      </c>
      <c r="E101" t="str">
        <f>"03.0101"</f>
        <v>03.0101</v>
      </c>
      <c r="F101" t="s">
        <v>108</v>
      </c>
    </row>
    <row r="102" spans="1:6" x14ac:dyDescent="0.25">
      <c r="A102" t="str">
        <f>"03.0103"</f>
        <v>03.0103</v>
      </c>
      <c r="B102" t="s">
        <v>109</v>
      </c>
      <c r="C102" t="s">
        <v>7</v>
      </c>
      <c r="D102" t="s">
        <v>11</v>
      </c>
      <c r="E102" t="str">
        <f>"03.0103"</f>
        <v>03.0103</v>
      </c>
      <c r="F102" t="s">
        <v>109</v>
      </c>
    </row>
    <row r="103" spans="1:6" x14ac:dyDescent="0.25">
      <c r="A103" t="str">
        <f>"03.0104"</f>
        <v>03.0104</v>
      </c>
      <c r="B103" t="s">
        <v>110</v>
      </c>
      <c r="C103" t="s">
        <v>7</v>
      </c>
      <c r="D103" t="s">
        <v>11</v>
      </c>
      <c r="E103" t="str">
        <f>"03.0104"</f>
        <v>03.0104</v>
      </c>
      <c r="F103" t="s">
        <v>110</v>
      </c>
    </row>
    <row r="104" spans="1:6" x14ac:dyDescent="0.25">
      <c r="A104" t="str">
        <f>"03.0199"</f>
        <v>03.0199</v>
      </c>
      <c r="B104" t="s">
        <v>111</v>
      </c>
      <c r="C104" t="s">
        <v>7</v>
      </c>
      <c r="D104" t="s">
        <v>11</v>
      </c>
      <c r="E104" t="str">
        <f>"03.0199"</f>
        <v>03.0199</v>
      </c>
      <c r="F104" t="s">
        <v>111</v>
      </c>
    </row>
    <row r="105" spans="1:6" x14ac:dyDescent="0.25">
      <c r="A105" t="str">
        <f>"03.02"</f>
        <v>03.02</v>
      </c>
      <c r="B105" t="s">
        <v>112</v>
      </c>
      <c r="C105" t="s">
        <v>7</v>
      </c>
      <c r="D105" t="s">
        <v>8</v>
      </c>
      <c r="E105" t="str">
        <f>"03.02"</f>
        <v>03.02</v>
      </c>
      <c r="F105" t="s">
        <v>113</v>
      </c>
    </row>
    <row r="106" spans="1:6" x14ac:dyDescent="0.25">
      <c r="A106" t="str">
        <f>"03.0201"</f>
        <v>03.0201</v>
      </c>
      <c r="B106" t="s">
        <v>112</v>
      </c>
      <c r="C106" t="s">
        <v>7</v>
      </c>
      <c r="D106" t="s">
        <v>8</v>
      </c>
      <c r="E106" t="str">
        <f>"03.0201"</f>
        <v>03.0201</v>
      </c>
      <c r="F106" t="s">
        <v>114</v>
      </c>
    </row>
    <row r="107" spans="1:6" x14ac:dyDescent="0.25">
      <c r="A107" t="str">
        <f>"03.0204"</f>
        <v>03.0204</v>
      </c>
      <c r="B107" t="s">
        <v>115</v>
      </c>
      <c r="C107" t="s">
        <v>7</v>
      </c>
      <c r="D107" t="s">
        <v>8</v>
      </c>
      <c r="E107" t="str">
        <f>"03.0204"</f>
        <v>03.0204</v>
      </c>
      <c r="F107" t="s">
        <v>116</v>
      </c>
    </row>
    <row r="108" spans="1:6" x14ac:dyDescent="0.25">
      <c r="A108" t="str">
        <f>"03.0205"</f>
        <v>03.0205</v>
      </c>
      <c r="B108" t="s">
        <v>117</v>
      </c>
      <c r="C108" t="s">
        <v>7</v>
      </c>
      <c r="D108" t="s">
        <v>11</v>
      </c>
      <c r="E108" t="str">
        <f>"03.0205"</f>
        <v>03.0205</v>
      </c>
      <c r="F108" t="s">
        <v>117</v>
      </c>
    </row>
    <row r="109" spans="1:6" x14ac:dyDescent="0.25">
      <c r="A109" t="str">
        <f>"03.0206"</f>
        <v>03.0206</v>
      </c>
      <c r="B109" t="s">
        <v>118</v>
      </c>
      <c r="C109" t="s">
        <v>7</v>
      </c>
      <c r="D109" t="s">
        <v>11</v>
      </c>
      <c r="E109" t="str">
        <f>"03.0206"</f>
        <v>03.0206</v>
      </c>
      <c r="F109" t="s">
        <v>118</v>
      </c>
    </row>
    <row r="110" spans="1:6" x14ac:dyDescent="0.25">
      <c r="A110" t="str">
        <f>"03.0207"</f>
        <v>03.0207</v>
      </c>
      <c r="B110" t="s">
        <v>119</v>
      </c>
      <c r="C110" t="s">
        <v>7</v>
      </c>
      <c r="D110" t="s">
        <v>8</v>
      </c>
      <c r="E110" t="str">
        <f>"03.0207"</f>
        <v>03.0207</v>
      </c>
      <c r="F110" t="s">
        <v>120</v>
      </c>
    </row>
    <row r="111" spans="1:6" x14ac:dyDescent="0.25">
      <c r="A111" t="str">
        <f>"03.0208"</f>
        <v>03.0208</v>
      </c>
      <c r="B111" t="s">
        <v>121</v>
      </c>
      <c r="C111" t="s">
        <v>7</v>
      </c>
      <c r="D111" t="s">
        <v>8</v>
      </c>
      <c r="E111" t="str">
        <f>"03.0208"</f>
        <v>03.0208</v>
      </c>
      <c r="F111" t="s">
        <v>122</v>
      </c>
    </row>
    <row r="112" spans="1:6" x14ac:dyDescent="0.25">
      <c r="C112" t="s">
        <v>26</v>
      </c>
      <c r="D112" t="s">
        <v>11</v>
      </c>
      <c r="E112" t="str">
        <f>"03.0209"</f>
        <v>03.0209</v>
      </c>
      <c r="F112" t="s">
        <v>123</v>
      </c>
    </row>
    <row r="113" spans="1:6" x14ac:dyDescent="0.25">
      <c r="C113" t="s">
        <v>26</v>
      </c>
      <c r="D113" t="s">
        <v>11</v>
      </c>
      <c r="E113" t="str">
        <f>"03.0210"</f>
        <v>03.0210</v>
      </c>
      <c r="F113" t="s">
        <v>124</v>
      </c>
    </row>
    <row r="114" spans="1:6" x14ac:dyDescent="0.25">
      <c r="A114" t="str">
        <f>"03.0299"</f>
        <v>03.0299</v>
      </c>
      <c r="B114" t="s">
        <v>125</v>
      </c>
      <c r="C114" t="s">
        <v>7</v>
      </c>
      <c r="D114" t="s">
        <v>8</v>
      </c>
      <c r="E114" t="str">
        <f>"03.0299"</f>
        <v>03.0299</v>
      </c>
      <c r="F114" t="s">
        <v>126</v>
      </c>
    </row>
    <row r="115" spans="1:6" x14ac:dyDescent="0.25">
      <c r="A115" t="str">
        <f>"03.03"</f>
        <v>03.03</v>
      </c>
      <c r="B115" t="s">
        <v>127</v>
      </c>
      <c r="C115" t="s">
        <v>7</v>
      </c>
      <c r="D115" t="s">
        <v>11</v>
      </c>
      <c r="E115" t="str">
        <f>"03.03"</f>
        <v>03.03</v>
      </c>
      <c r="F115" t="s">
        <v>127</v>
      </c>
    </row>
    <row r="116" spans="1:6" x14ac:dyDescent="0.25">
      <c r="A116" t="str">
        <f>"03.0301"</f>
        <v>03.0301</v>
      </c>
      <c r="B116" t="s">
        <v>127</v>
      </c>
      <c r="C116" t="s">
        <v>7</v>
      </c>
      <c r="D116" t="s">
        <v>11</v>
      </c>
      <c r="E116" t="str">
        <f>"03.0301"</f>
        <v>03.0301</v>
      </c>
      <c r="F116" t="s">
        <v>127</v>
      </c>
    </row>
    <row r="117" spans="1:6" x14ac:dyDescent="0.25">
      <c r="A117" t="str">
        <f>"03.05"</f>
        <v>03.05</v>
      </c>
      <c r="B117" t="s">
        <v>128</v>
      </c>
      <c r="C117" t="s">
        <v>7</v>
      </c>
      <c r="D117" t="s">
        <v>11</v>
      </c>
      <c r="E117" t="str">
        <f>"03.05"</f>
        <v>03.05</v>
      </c>
      <c r="F117" t="s">
        <v>128</v>
      </c>
    </row>
    <row r="118" spans="1:6" x14ac:dyDescent="0.25">
      <c r="A118" t="str">
        <f>"03.0501"</f>
        <v>03.0501</v>
      </c>
      <c r="B118" t="s">
        <v>129</v>
      </c>
      <c r="C118" t="s">
        <v>7</v>
      </c>
      <c r="D118" t="s">
        <v>11</v>
      </c>
      <c r="E118" t="str">
        <f>"03.0501"</f>
        <v>03.0501</v>
      </c>
      <c r="F118" t="s">
        <v>129</v>
      </c>
    </row>
    <row r="119" spans="1:6" x14ac:dyDescent="0.25">
      <c r="A119" t="str">
        <f>"03.0502"</f>
        <v>03.0502</v>
      </c>
      <c r="B119" t="s">
        <v>130</v>
      </c>
      <c r="C119" t="s">
        <v>7</v>
      </c>
      <c r="D119" t="s">
        <v>11</v>
      </c>
      <c r="E119" t="str">
        <f>"03.0502"</f>
        <v>03.0502</v>
      </c>
      <c r="F119" t="s">
        <v>130</v>
      </c>
    </row>
    <row r="120" spans="1:6" x14ac:dyDescent="0.25">
      <c r="A120" t="str">
        <f>"03.0506"</f>
        <v>03.0506</v>
      </c>
      <c r="B120" t="s">
        <v>131</v>
      </c>
      <c r="C120" t="s">
        <v>7</v>
      </c>
      <c r="D120" t="s">
        <v>11</v>
      </c>
      <c r="E120" t="str">
        <f>"03.0506"</f>
        <v>03.0506</v>
      </c>
      <c r="F120" t="s">
        <v>131</v>
      </c>
    </row>
    <row r="121" spans="1:6" x14ac:dyDescent="0.25">
      <c r="A121" t="str">
        <f>"03.0508"</f>
        <v>03.0508</v>
      </c>
      <c r="B121" t="s">
        <v>132</v>
      </c>
      <c r="C121" t="s">
        <v>7</v>
      </c>
      <c r="D121" t="s">
        <v>11</v>
      </c>
      <c r="E121" t="str">
        <f>"03.0508"</f>
        <v>03.0508</v>
      </c>
      <c r="F121" t="s">
        <v>132</v>
      </c>
    </row>
    <row r="122" spans="1:6" x14ac:dyDescent="0.25">
      <c r="A122" t="str">
        <f>"03.0509"</f>
        <v>03.0509</v>
      </c>
      <c r="B122" t="s">
        <v>133</v>
      </c>
      <c r="C122" t="s">
        <v>7</v>
      </c>
      <c r="D122" t="s">
        <v>8</v>
      </c>
      <c r="E122" t="str">
        <f>"03.0509"</f>
        <v>03.0509</v>
      </c>
      <c r="F122" t="s">
        <v>134</v>
      </c>
    </row>
    <row r="123" spans="1:6" x14ac:dyDescent="0.25">
      <c r="A123" t="str">
        <f>"03.0510"</f>
        <v>03.0510</v>
      </c>
      <c r="B123" t="s">
        <v>135</v>
      </c>
      <c r="C123" t="s">
        <v>7</v>
      </c>
      <c r="D123" t="s">
        <v>11</v>
      </c>
      <c r="E123" t="str">
        <f>"03.0510"</f>
        <v>03.0510</v>
      </c>
      <c r="F123" t="s">
        <v>135</v>
      </c>
    </row>
    <row r="124" spans="1:6" x14ac:dyDescent="0.25">
      <c r="A124" t="str">
        <f>"03.0511"</f>
        <v>03.0511</v>
      </c>
      <c r="B124" t="s">
        <v>136</v>
      </c>
      <c r="C124" t="s">
        <v>7</v>
      </c>
      <c r="D124" t="s">
        <v>11</v>
      </c>
      <c r="E124" t="str">
        <f>"03.0511"</f>
        <v>03.0511</v>
      </c>
      <c r="F124" t="s">
        <v>136</v>
      </c>
    </row>
    <row r="125" spans="1:6" x14ac:dyDescent="0.25">
      <c r="A125" t="str">
        <f>"03.0599"</f>
        <v>03.0599</v>
      </c>
      <c r="B125" t="s">
        <v>137</v>
      </c>
      <c r="C125" t="s">
        <v>7</v>
      </c>
      <c r="D125" t="s">
        <v>11</v>
      </c>
      <c r="E125" t="str">
        <f>"03.0599"</f>
        <v>03.0599</v>
      </c>
      <c r="F125" t="s">
        <v>137</v>
      </c>
    </row>
    <row r="126" spans="1:6" x14ac:dyDescent="0.25">
      <c r="A126" t="str">
        <f>"03.06"</f>
        <v>03.06</v>
      </c>
      <c r="B126" t="s">
        <v>138</v>
      </c>
      <c r="C126" t="s">
        <v>7</v>
      </c>
      <c r="D126" t="s">
        <v>11</v>
      </c>
      <c r="E126" t="str">
        <f>"03.06"</f>
        <v>03.06</v>
      </c>
      <c r="F126" t="s">
        <v>138</v>
      </c>
    </row>
    <row r="127" spans="1:6" x14ac:dyDescent="0.25">
      <c r="A127" t="str">
        <f>"03.0601"</f>
        <v>03.0601</v>
      </c>
      <c r="B127" t="s">
        <v>139</v>
      </c>
      <c r="C127" t="s">
        <v>7</v>
      </c>
      <c r="D127" t="s">
        <v>11</v>
      </c>
      <c r="E127" t="str">
        <f>"03.0601"</f>
        <v>03.0601</v>
      </c>
      <c r="F127" t="s">
        <v>139</v>
      </c>
    </row>
    <row r="128" spans="1:6" x14ac:dyDescent="0.25">
      <c r="A128" t="str">
        <f>"03.99"</f>
        <v>03.99</v>
      </c>
      <c r="B128" t="s">
        <v>140</v>
      </c>
      <c r="C128" t="s">
        <v>7</v>
      </c>
      <c r="D128" t="s">
        <v>11</v>
      </c>
      <c r="E128" t="str">
        <f>"03.99"</f>
        <v>03.99</v>
      </c>
      <c r="F128" t="s">
        <v>140</v>
      </c>
    </row>
    <row r="129" spans="1:6" x14ac:dyDescent="0.25">
      <c r="A129" t="str">
        <f>"03.9999"</f>
        <v>03.9999</v>
      </c>
      <c r="B129" t="s">
        <v>140</v>
      </c>
      <c r="C129" t="s">
        <v>7</v>
      </c>
      <c r="D129" t="s">
        <v>11</v>
      </c>
      <c r="E129" t="str">
        <f>"03.9999"</f>
        <v>03.9999</v>
      </c>
      <c r="F129" t="s">
        <v>140</v>
      </c>
    </row>
    <row r="130" spans="1:6" x14ac:dyDescent="0.25">
      <c r="A130" t="str">
        <f>"04"</f>
        <v>04</v>
      </c>
      <c r="B130" t="s">
        <v>141</v>
      </c>
      <c r="C130" t="s">
        <v>7</v>
      </c>
      <c r="D130" t="s">
        <v>11</v>
      </c>
      <c r="E130" t="str">
        <f>"04"</f>
        <v>04</v>
      </c>
      <c r="F130" t="s">
        <v>141</v>
      </c>
    </row>
    <row r="131" spans="1:6" x14ac:dyDescent="0.25">
      <c r="A131" t="str">
        <f>"04.02"</f>
        <v>04.02</v>
      </c>
      <c r="B131" t="s">
        <v>142</v>
      </c>
      <c r="C131" t="s">
        <v>7</v>
      </c>
      <c r="D131" t="s">
        <v>11</v>
      </c>
      <c r="E131" t="str">
        <f>"04.02"</f>
        <v>04.02</v>
      </c>
      <c r="F131" t="s">
        <v>142</v>
      </c>
    </row>
    <row r="132" spans="1:6" x14ac:dyDescent="0.25">
      <c r="C132" t="s">
        <v>26</v>
      </c>
      <c r="D132" t="s">
        <v>11</v>
      </c>
      <c r="E132" t="str">
        <f>"04.0200"</f>
        <v>04.0200</v>
      </c>
      <c r="F132" t="s">
        <v>143</v>
      </c>
    </row>
    <row r="133" spans="1:6" x14ac:dyDescent="0.25">
      <c r="A133" t="str">
        <f>"04.0201"</f>
        <v>04.0201</v>
      </c>
      <c r="B133" t="s">
        <v>142</v>
      </c>
      <c r="C133" t="s">
        <v>7</v>
      </c>
      <c r="D133" t="s">
        <v>11</v>
      </c>
      <c r="E133" t="str">
        <f>"04.0201"</f>
        <v>04.0201</v>
      </c>
      <c r="F133" t="s">
        <v>142</v>
      </c>
    </row>
    <row r="134" spans="1:6" x14ac:dyDescent="0.25">
      <c r="C134" t="s">
        <v>26</v>
      </c>
      <c r="D134" t="s">
        <v>11</v>
      </c>
      <c r="E134" t="str">
        <f>"04.0202"</f>
        <v>04.0202</v>
      </c>
      <c r="F134" t="s">
        <v>144</v>
      </c>
    </row>
    <row r="135" spans="1:6" x14ac:dyDescent="0.25">
      <c r="C135" t="s">
        <v>26</v>
      </c>
      <c r="D135" t="s">
        <v>11</v>
      </c>
      <c r="E135" t="str">
        <f>"04.0299"</f>
        <v>04.0299</v>
      </c>
      <c r="F135" t="s">
        <v>145</v>
      </c>
    </row>
    <row r="136" spans="1:6" x14ac:dyDescent="0.25">
      <c r="A136" t="str">
        <f>"04.03"</f>
        <v>04.03</v>
      </c>
      <c r="B136" t="s">
        <v>146</v>
      </c>
      <c r="C136" t="s">
        <v>7</v>
      </c>
      <c r="D136" t="s">
        <v>11</v>
      </c>
      <c r="E136" t="str">
        <f>"04.03"</f>
        <v>04.03</v>
      </c>
      <c r="F136" t="s">
        <v>147</v>
      </c>
    </row>
    <row r="137" spans="1:6" x14ac:dyDescent="0.25">
      <c r="A137" t="str">
        <f>"04.0301"</f>
        <v>04.0301</v>
      </c>
      <c r="B137" t="s">
        <v>146</v>
      </c>
      <c r="C137" t="s">
        <v>7</v>
      </c>
      <c r="D137" t="s">
        <v>11</v>
      </c>
      <c r="E137" t="str">
        <f>"04.0301"</f>
        <v>04.0301</v>
      </c>
      <c r="F137" t="s">
        <v>147</v>
      </c>
    </row>
    <row r="138" spans="1:6" x14ac:dyDescent="0.25">
      <c r="A138" t="str">
        <f>"04.04"</f>
        <v>04.04</v>
      </c>
      <c r="B138" t="s">
        <v>148</v>
      </c>
      <c r="C138" t="s">
        <v>7</v>
      </c>
      <c r="D138" t="s">
        <v>11</v>
      </c>
      <c r="E138" t="str">
        <f>"04.04"</f>
        <v>04.04</v>
      </c>
      <c r="F138" t="s">
        <v>148</v>
      </c>
    </row>
    <row r="139" spans="1:6" x14ac:dyDescent="0.25">
      <c r="A139" t="str">
        <f>"04.0401"</f>
        <v>04.0401</v>
      </c>
      <c r="B139" t="s">
        <v>149</v>
      </c>
      <c r="C139" t="s">
        <v>7</v>
      </c>
      <c r="D139" t="s">
        <v>11</v>
      </c>
      <c r="E139" t="str">
        <f>"04.0401"</f>
        <v>04.0401</v>
      </c>
      <c r="F139" t="s">
        <v>149</v>
      </c>
    </row>
    <row r="140" spans="1:6" x14ac:dyDescent="0.25">
      <c r="C140" t="s">
        <v>26</v>
      </c>
      <c r="D140" t="s">
        <v>11</v>
      </c>
      <c r="E140" t="str">
        <f>"04.0402"</f>
        <v>04.0402</v>
      </c>
      <c r="F140" t="s">
        <v>150</v>
      </c>
    </row>
    <row r="141" spans="1:6" x14ac:dyDescent="0.25">
      <c r="C141" t="s">
        <v>26</v>
      </c>
      <c r="D141" t="s">
        <v>11</v>
      </c>
      <c r="E141" t="str">
        <f>"04.0403"</f>
        <v>04.0403</v>
      </c>
      <c r="F141" t="s">
        <v>151</v>
      </c>
    </row>
    <row r="142" spans="1:6" x14ac:dyDescent="0.25">
      <c r="C142" t="s">
        <v>26</v>
      </c>
      <c r="D142" t="s">
        <v>11</v>
      </c>
      <c r="E142" t="str">
        <f>"04.0499"</f>
        <v>04.0499</v>
      </c>
      <c r="F142" t="s">
        <v>152</v>
      </c>
    </row>
    <row r="143" spans="1:6" x14ac:dyDescent="0.25">
      <c r="A143" t="str">
        <f>"04.05"</f>
        <v>04.05</v>
      </c>
      <c r="B143" t="s">
        <v>153</v>
      </c>
      <c r="C143" t="s">
        <v>7</v>
      </c>
      <c r="D143" t="s">
        <v>11</v>
      </c>
      <c r="E143" t="str">
        <f>"04.05"</f>
        <v>04.05</v>
      </c>
      <c r="F143" t="s">
        <v>153</v>
      </c>
    </row>
    <row r="144" spans="1:6" x14ac:dyDescent="0.25">
      <c r="A144" t="str">
        <f>"04.0501"</f>
        <v>04.0501</v>
      </c>
      <c r="B144" t="s">
        <v>153</v>
      </c>
      <c r="C144" t="s">
        <v>7</v>
      </c>
      <c r="D144" t="s">
        <v>11</v>
      </c>
      <c r="E144" t="str">
        <f>"04.0501"</f>
        <v>04.0501</v>
      </c>
      <c r="F144" t="s">
        <v>153</v>
      </c>
    </row>
    <row r="145" spans="1:6" x14ac:dyDescent="0.25">
      <c r="A145" t="str">
        <f>"04.06"</f>
        <v>04.06</v>
      </c>
      <c r="B145" t="s">
        <v>154</v>
      </c>
      <c r="C145" t="s">
        <v>7</v>
      </c>
      <c r="D145" t="s">
        <v>11</v>
      </c>
      <c r="E145" t="str">
        <f>"04.06"</f>
        <v>04.06</v>
      </c>
      <c r="F145" t="s">
        <v>154</v>
      </c>
    </row>
    <row r="146" spans="1:6" x14ac:dyDescent="0.25">
      <c r="A146" t="str">
        <f>"04.0601"</f>
        <v>04.0601</v>
      </c>
      <c r="B146" t="s">
        <v>154</v>
      </c>
      <c r="C146" t="s">
        <v>7</v>
      </c>
      <c r="D146" t="s">
        <v>11</v>
      </c>
      <c r="E146" t="str">
        <f>"04.0601"</f>
        <v>04.0601</v>
      </c>
      <c r="F146" t="s">
        <v>154</v>
      </c>
    </row>
    <row r="147" spans="1:6" x14ac:dyDescent="0.25">
      <c r="A147" t="str">
        <f>"04.08"</f>
        <v>04.08</v>
      </c>
      <c r="B147" t="s">
        <v>155</v>
      </c>
      <c r="C147" t="s">
        <v>7</v>
      </c>
      <c r="D147" t="s">
        <v>8</v>
      </c>
      <c r="E147" t="str">
        <f>"04.08"</f>
        <v>04.08</v>
      </c>
      <c r="F147" t="s">
        <v>156</v>
      </c>
    </row>
    <row r="148" spans="1:6" x14ac:dyDescent="0.25">
      <c r="A148" t="str">
        <f>"04.0801"</f>
        <v>04.0801</v>
      </c>
      <c r="B148" t="s">
        <v>157</v>
      </c>
      <c r="C148" t="s">
        <v>7</v>
      </c>
      <c r="D148" t="s">
        <v>11</v>
      </c>
      <c r="E148" t="str">
        <f>"04.0801"</f>
        <v>04.0801</v>
      </c>
      <c r="F148" t="s">
        <v>157</v>
      </c>
    </row>
    <row r="149" spans="1:6" x14ac:dyDescent="0.25">
      <c r="C149" t="s">
        <v>26</v>
      </c>
      <c r="D149" t="s">
        <v>11</v>
      </c>
      <c r="E149" t="str">
        <f>"04.0802"</f>
        <v>04.0802</v>
      </c>
      <c r="F149" t="s">
        <v>158</v>
      </c>
    </row>
    <row r="150" spans="1:6" x14ac:dyDescent="0.25">
      <c r="C150" t="s">
        <v>26</v>
      </c>
      <c r="D150" t="s">
        <v>11</v>
      </c>
      <c r="E150" t="str">
        <f>"04.0803"</f>
        <v>04.0803</v>
      </c>
      <c r="F150" t="s">
        <v>159</v>
      </c>
    </row>
    <row r="151" spans="1:6" x14ac:dyDescent="0.25">
      <c r="C151" t="s">
        <v>26</v>
      </c>
      <c r="D151" t="s">
        <v>11</v>
      </c>
      <c r="E151" t="str">
        <f>"04.0899"</f>
        <v>04.0899</v>
      </c>
      <c r="F151" t="s">
        <v>160</v>
      </c>
    </row>
    <row r="152" spans="1:6" x14ac:dyDescent="0.25">
      <c r="A152" t="str">
        <f>"04.09"</f>
        <v>04.09</v>
      </c>
      <c r="B152" t="s">
        <v>161</v>
      </c>
      <c r="C152" t="s">
        <v>7</v>
      </c>
      <c r="D152" t="s">
        <v>11</v>
      </c>
      <c r="E152" t="str">
        <f>"04.09"</f>
        <v>04.09</v>
      </c>
      <c r="F152" t="s">
        <v>161</v>
      </c>
    </row>
    <row r="153" spans="1:6" x14ac:dyDescent="0.25">
      <c r="A153" t="str">
        <f>"04.0901"</f>
        <v>04.0901</v>
      </c>
      <c r="B153" t="s">
        <v>162</v>
      </c>
      <c r="C153" t="s">
        <v>7</v>
      </c>
      <c r="D153" t="s">
        <v>11</v>
      </c>
      <c r="E153" t="str">
        <f>"04.0901"</f>
        <v>04.0901</v>
      </c>
      <c r="F153" t="s">
        <v>162</v>
      </c>
    </row>
    <row r="154" spans="1:6" x14ac:dyDescent="0.25">
      <c r="A154" t="str">
        <f>"04.0902"</f>
        <v>04.0902</v>
      </c>
      <c r="B154" t="s">
        <v>163</v>
      </c>
      <c r="C154" t="s">
        <v>7</v>
      </c>
      <c r="D154" t="s">
        <v>11</v>
      </c>
      <c r="E154" t="str">
        <f>"04.0902"</f>
        <v>04.0902</v>
      </c>
      <c r="F154" t="s">
        <v>163</v>
      </c>
    </row>
    <row r="155" spans="1:6" x14ac:dyDescent="0.25">
      <c r="A155" t="str">
        <f>"04.0999"</f>
        <v>04.0999</v>
      </c>
      <c r="B155" t="s">
        <v>164</v>
      </c>
      <c r="C155" t="s">
        <v>7</v>
      </c>
      <c r="D155" t="s">
        <v>11</v>
      </c>
      <c r="E155" t="str">
        <f>"04.0999"</f>
        <v>04.0999</v>
      </c>
      <c r="F155" t="s">
        <v>164</v>
      </c>
    </row>
    <row r="156" spans="1:6" x14ac:dyDescent="0.25">
      <c r="A156" t="str">
        <f>"04.10"</f>
        <v>04.10</v>
      </c>
      <c r="B156" t="s">
        <v>165</v>
      </c>
      <c r="C156" t="s">
        <v>7</v>
      </c>
      <c r="D156" t="s">
        <v>11</v>
      </c>
      <c r="E156" t="str">
        <f>"04.10"</f>
        <v>04.10</v>
      </c>
      <c r="F156" t="s">
        <v>165</v>
      </c>
    </row>
    <row r="157" spans="1:6" x14ac:dyDescent="0.25">
      <c r="A157" t="str">
        <f>"04.1001"</f>
        <v>04.1001</v>
      </c>
      <c r="B157" t="s">
        <v>165</v>
      </c>
      <c r="C157" t="s">
        <v>7</v>
      </c>
      <c r="D157" t="s">
        <v>11</v>
      </c>
      <c r="E157" t="str">
        <f>"04.1001"</f>
        <v>04.1001</v>
      </c>
      <c r="F157" t="s">
        <v>165</v>
      </c>
    </row>
    <row r="158" spans="1:6" x14ac:dyDescent="0.25">
      <c r="A158" t="str">
        <f>"04.99"</f>
        <v>04.99</v>
      </c>
      <c r="B158" t="s">
        <v>166</v>
      </c>
      <c r="C158" t="s">
        <v>7</v>
      </c>
      <c r="D158" t="s">
        <v>11</v>
      </c>
      <c r="E158" t="str">
        <f>"04.99"</f>
        <v>04.99</v>
      </c>
      <c r="F158" t="s">
        <v>166</v>
      </c>
    </row>
    <row r="159" spans="1:6" x14ac:dyDescent="0.25">
      <c r="A159" t="str">
        <f>"04.9999"</f>
        <v>04.9999</v>
      </c>
      <c r="B159" t="s">
        <v>166</v>
      </c>
      <c r="C159" t="s">
        <v>7</v>
      </c>
      <c r="D159" t="s">
        <v>11</v>
      </c>
      <c r="E159" t="str">
        <f>"04.9999"</f>
        <v>04.9999</v>
      </c>
      <c r="F159" t="s">
        <v>166</v>
      </c>
    </row>
    <row r="160" spans="1:6" x14ac:dyDescent="0.25">
      <c r="A160" t="str">
        <f>"05"</f>
        <v>05</v>
      </c>
      <c r="B160" t="s">
        <v>167</v>
      </c>
      <c r="C160" t="s">
        <v>7</v>
      </c>
      <c r="D160" t="s">
        <v>11</v>
      </c>
      <c r="E160" t="str">
        <f>"05"</f>
        <v>05</v>
      </c>
      <c r="F160" t="s">
        <v>167</v>
      </c>
    </row>
    <row r="161" spans="1:6" x14ac:dyDescent="0.25">
      <c r="A161" t="str">
        <f>"05.01"</f>
        <v>05.01</v>
      </c>
      <c r="B161" t="s">
        <v>168</v>
      </c>
      <c r="C161" t="s">
        <v>7</v>
      </c>
      <c r="D161" t="s">
        <v>11</v>
      </c>
      <c r="E161" t="str">
        <f>"05.01"</f>
        <v>05.01</v>
      </c>
      <c r="F161" t="s">
        <v>168</v>
      </c>
    </row>
    <row r="162" spans="1:6" x14ac:dyDescent="0.25">
      <c r="A162" t="str">
        <f>"05.0101"</f>
        <v>05.0101</v>
      </c>
      <c r="B162" t="s">
        <v>169</v>
      </c>
      <c r="C162" t="s">
        <v>7</v>
      </c>
      <c r="D162" t="s">
        <v>11</v>
      </c>
      <c r="E162" t="str">
        <f>"05.0101"</f>
        <v>05.0101</v>
      </c>
      <c r="F162" t="s">
        <v>169</v>
      </c>
    </row>
    <row r="163" spans="1:6" x14ac:dyDescent="0.25">
      <c r="A163" t="str">
        <f>"05.0102"</f>
        <v>05.0102</v>
      </c>
      <c r="B163" t="s">
        <v>170</v>
      </c>
      <c r="C163" t="s">
        <v>7</v>
      </c>
      <c r="D163" t="s">
        <v>11</v>
      </c>
      <c r="E163" t="str">
        <f>"05.0102"</f>
        <v>05.0102</v>
      </c>
      <c r="F163" t="s">
        <v>170</v>
      </c>
    </row>
    <row r="164" spans="1:6" x14ac:dyDescent="0.25">
      <c r="A164" t="str">
        <f>"05.0103"</f>
        <v>05.0103</v>
      </c>
      <c r="B164" t="s">
        <v>171</v>
      </c>
      <c r="C164" t="s">
        <v>7</v>
      </c>
      <c r="D164" t="s">
        <v>11</v>
      </c>
      <c r="E164" t="str">
        <f>"05.0103"</f>
        <v>05.0103</v>
      </c>
      <c r="F164" t="s">
        <v>171</v>
      </c>
    </row>
    <row r="165" spans="1:6" x14ac:dyDescent="0.25">
      <c r="A165" t="str">
        <f>"05.0104"</f>
        <v>05.0104</v>
      </c>
      <c r="B165" t="s">
        <v>172</v>
      </c>
      <c r="C165" t="s">
        <v>7</v>
      </c>
      <c r="D165" t="s">
        <v>11</v>
      </c>
      <c r="E165" t="str">
        <f>"05.0104"</f>
        <v>05.0104</v>
      </c>
      <c r="F165" t="s">
        <v>172</v>
      </c>
    </row>
    <row r="166" spans="1:6" x14ac:dyDescent="0.25">
      <c r="A166" t="str">
        <f>"05.0105"</f>
        <v>05.0105</v>
      </c>
      <c r="B166" t="s">
        <v>173</v>
      </c>
      <c r="C166" t="s">
        <v>7</v>
      </c>
      <c r="D166" t="s">
        <v>11</v>
      </c>
      <c r="E166" t="str">
        <f>"05.0105"</f>
        <v>05.0105</v>
      </c>
      <c r="F166" t="s">
        <v>173</v>
      </c>
    </row>
    <row r="167" spans="1:6" x14ac:dyDescent="0.25">
      <c r="A167" t="str">
        <f>"05.0106"</f>
        <v>05.0106</v>
      </c>
      <c r="B167" t="s">
        <v>174</v>
      </c>
      <c r="C167" t="s">
        <v>7</v>
      </c>
      <c r="D167" t="s">
        <v>11</v>
      </c>
      <c r="E167" t="str">
        <f>"05.0106"</f>
        <v>05.0106</v>
      </c>
      <c r="F167" t="s">
        <v>174</v>
      </c>
    </row>
    <row r="168" spans="1:6" x14ac:dyDescent="0.25">
      <c r="A168" t="str">
        <f>"05.0107"</f>
        <v>05.0107</v>
      </c>
      <c r="B168" t="s">
        <v>175</v>
      </c>
      <c r="C168" t="s">
        <v>7</v>
      </c>
      <c r="D168" t="s">
        <v>11</v>
      </c>
      <c r="E168" t="str">
        <f>"05.0107"</f>
        <v>05.0107</v>
      </c>
      <c r="F168" t="s">
        <v>175</v>
      </c>
    </row>
    <row r="169" spans="1:6" x14ac:dyDescent="0.25">
      <c r="A169" t="str">
        <f>"05.0108"</f>
        <v>05.0108</v>
      </c>
      <c r="B169" t="s">
        <v>176</v>
      </c>
      <c r="C169" t="s">
        <v>7</v>
      </c>
      <c r="D169" t="s">
        <v>11</v>
      </c>
      <c r="E169" t="str">
        <f>"05.0108"</f>
        <v>05.0108</v>
      </c>
      <c r="F169" t="s">
        <v>176</v>
      </c>
    </row>
    <row r="170" spans="1:6" x14ac:dyDescent="0.25">
      <c r="A170" t="str">
        <f>"05.0109"</f>
        <v>05.0109</v>
      </c>
      <c r="B170" t="s">
        <v>177</v>
      </c>
      <c r="C170" t="s">
        <v>7</v>
      </c>
      <c r="D170" t="s">
        <v>11</v>
      </c>
      <c r="E170" t="str">
        <f>"05.0109"</f>
        <v>05.0109</v>
      </c>
      <c r="F170" t="s">
        <v>177</v>
      </c>
    </row>
    <row r="171" spans="1:6" x14ac:dyDescent="0.25">
      <c r="A171" t="str">
        <f>"05.0110"</f>
        <v>05.0110</v>
      </c>
      <c r="B171" t="s">
        <v>178</v>
      </c>
      <c r="C171" t="s">
        <v>7</v>
      </c>
      <c r="D171" t="s">
        <v>11</v>
      </c>
      <c r="E171" t="str">
        <f>"05.0110"</f>
        <v>05.0110</v>
      </c>
      <c r="F171" t="s">
        <v>178</v>
      </c>
    </row>
    <row r="172" spans="1:6" x14ac:dyDescent="0.25">
      <c r="A172" t="str">
        <f>"05.0111"</f>
        <v>05.0111</v>
      </c>
      <c r="B172" t="s">
        <v>179</v>
      </c>
      <c r="C172" t="s">
        <v>7</v>
      </c>
      <c r="D172" t="s">
        <v>8</v>
      </c>
      <c r="E172" t="str">
        <f>"05.0111"</f>
        <v>05.0111</v>
      </c>
      <c r="F172" t="s">
        <v>179</v>
      </c>
    </row>
    <row r="173" spans="1:6" x14ac:dyDescent="0.25">
      <c r="A173" t="str">
        <f>"05.0112"</f>
        <v>05.0112</v>
      </c>
      <c r="B173" t="s">
        <v>180</v>
      </c>
      <c r="C173" t="s">
        <v>7</v>
      </c>
      <c r="D173" t="s">
        <v>11</v>
      </c>
      <c r="E173" t="str">
        <f>"05.0112"</f>
        <v>05.0112</v>
      </c>
      <c r="F173" t="s">
        <v>180</v>
      </c>
    </row>
    <row r="174" spans="1:6" x14ac:dyDescent="0.25">
      <c r="A174" t="str">
        <f>"05.0113"</f>
        <v>05.0113</v>
      </c>
      <c r="B174" t="s">
        <v>181</v>
      </c>
      <c r="C174" t="s">
        <v>7</v>
      </c>
      <c r="D174" t="s">
        <v>11</v>
      </c>
      <c r="E174" t="str">
        <f>"05.0113"</f>
        <v>05.0113</v>
      </c>
      <c r="F174" t="s">
        <v>181</v>
      </c>
    </row>
    <row r="175" spans="1:6" x14ac:dyDescent="0.25">
      <c r="A175" t="str">
        <f>"05.0114"</f>
        <v>05.0114</v>
      </c>
      <c r="B175" t="s">
        <v>182</v>
      </c>
      <c r="C175" t="s">
        <v>7</v>
      </c>
      <c r="D175" t="s">
        <v>11</v>
      </c>
      <c r="E175" t="str">
        <f>"05.0114"</f>
        <v>05.0114</v>
      </c>
      <c r="F175" t="s">
        <v>182</v>
      </c>
    </row>
    <row r="176" spans="1:6" x14ac:dyDescent="0.25">
      <c r="A176" t="str">
        <f>"05.0115"</f>
        <v>05.0115</v>
      </c>
      <c r="B176" t="s">
        <v>183</v>
      </c>
      <c r="C176" t="s">
        <v>7</v>
      </c>
      <c r="D176" t="s">
        <v>11</v>
      </c>
      <c r="E176" t="str">
        <f>"05.0115"</f>
        <v>05.0115</v>
      </c>
      <c r="F176" t="s">
        <v>183</v>
      </c>
    </row>
    <row r="177" spans="1:6" x14ac:dyDescent="0.25">
      <c r="A177" t="str">
        <f>"05.0116"</f>
        <v>05.0116</v>
      </c>
      <c r="B177" t="s">
        <v>184</v>
      </c>
      <c r="C177" t="s">
        <v>7</v>
      </c>
      <c r="D177" t="s">
        <v>11</v>
      </c>
      <c r="E177" t="str">
        <f>"05.0116"</f>
        <v>05.0116</v>
      </c>
      <c r="F177" t="s">
        <v>184</v>
      </c>
    </row>
    <row r="178" spans="1:6" x14ac:dyDescent="0.25">
      <c r="A178" t="str">
        <f>"05.0117"</f>
        <v>05.0117</v>
      </c>
      <c r="B178" t="s">
        <v>185</v>
      </c>
      <c r="C178" t="s">
        <v>7</v>
      </c>
      <c r="D178" t="s">
        <v>11</v>
      </c>
      <c r="E178" t="str">
        <f>"05.0117"</f>
        <v>05.0117</v>
      </c>
      <c r="F178" t="s">
        <v>185</v>
      </c>
    </row>
    <row r="179" spans="1:6" x14ac:dyDescent="0.25">
      <c r="A179" t="str">
        <f>"05.0118"</f>
        <v>05.0118</v>
      </c>
      <c r="B179" t="s">
        <v>186</v>
      </c>
      <c r="C179" t="s">
        <v>7</v>
      </c>
      <c r="D179" t="s">
        <v>11</v>
      </c>
      <c r="E179" t="str">
        <f>"05.0118"</f>
        <v>05.0118</v>
      </c>
      <c r="F179" t="s">
        <v>186</v>
      </c>
    </row>
    <row r="180" spans="1:6" x14ac:dyDescent="0.25">
      <c r="A180" t="str">
        <f>"05.0119"</f>
        <v>05.0119</v>
      </c>
      <c r="B180" t="s">
        <v>187</v>
      </c>
      <c r="C180" t="s">
        <v>7</v>
      </c>
      <c r="D180" t="s">
        <v>11</v>
      </c>
      <c r="E180" t="str">
        <f>"05.0119"</f>
        <v>05.0119</v>
      </c>
      <c r="F180" t="s">
        <v>187</v>
      </c>
    </row>
    <row r="181" spans="1:6" x14ac:dyDescent="0.25">
      <c r="A181" t="str">
        <f>"05.0120"</f>
        <v>05.0120</v>
      </c>
      <c r="B181" t="s">
        <v>188</v>
      </c>
      <c r="C181" t="s">
        <v>7</v>
      </c>
      <c r="D181" t="s">
        <v>11</v>
      </c>
      <c r="E181" t="str">
        <f>"05.0120"</f>
        <v>05.0120</v>
      </c>
      <c r="F181" t="s">
        <v>188</v>
      </c>
    </row>
    <row r="182" spans="1:6" x14ac:dyDescent="0.25">
      <c r="A182" t="str">
        <f>"05.0121"</f>
        <v>05.0121</v>
      </c>
      <c r="B182" t="s">
        <v>189</v>
      </c>
      <c r="C182" t="s">
        <v>7</v>
      </c>
      <c r="D182" t="s">
        <v>11</v>
      </c>
      <c r="E182" t="str">
        <f>"05.0121"</f>
        <v>05.0121</v>
      </c>
      <c r="F182" t="s">
        <v>189</v>
      </c>
    </row>
    <row r="183" spans="1:6" x14ac:dyDescent="0.25">
      <c r="A183" t="str">
        <f>"05.0122"</f>
        <v>05.0122</v>
      </c>
      <c r="B183" t="s">
        <v>190</v>
      </c>
      <c r="C183" t="s">
        <v>7</v>
      </c>
      <c r="D183" t="s">
        <v>8</v>
      </c>
      <c r="E183" t="str">
        <f>"05.0122"</f>
        <v>05.0122</v>
      </c>
      <c r="F183" t="s">
        <v>191</v>
      </c>
    </row>
    <row r="184" spans="1:6" x14ac:dyDescent="0.25">
      <c r="A184" t="str">
        <f>"05.0123"</f>
        <v>05.0123</v>
      </c>
      <c r="B184" t="s">
        <v>192</v>
      </c>
      <c r="C184" t="s">
        <v>7</v>
      </c>
      <c r="D184" t="s">
        <v>11</v>
      </c>
      <c r="E184" t="str">
        <f>"05.0123"</f>
        <v>05.0123</v>
      </c>
      <c r="F184" t="s">
        <v>192</v>
      </c>
    </row>
    <row r="185" spans="1:6" x14ac:dyDescent="0.25">
      <c r="A185" t="str">
        <f>"05.0124"</f>
        <v>05.0124</v>
      </c>
      <c r="B185" t="s">
        <v>193</v>
      </c>
      <c r="C185" t="s">
        <v>7</v>
      </c>
      <c r="D185" t="s">
        <v>11</v>
      </c>
      <c r="E185" t="str">
        <f>"05.0124"</f>
        <v>05.0124</v>
      </c>
      <c r="F185" t="s">
        <v>193</v>
      </c>
    </row>
    <row r="186" spans="1:6" x14ac:dyDescent="0.25">
      <c r="A186" t="str">
        <f>"05.0125"</f>
        <v>05.0125</v>
      </c>
      <c r="B186" t="s">
        <v>194</v>
      </c>
      <c r="C186" t="s">
        <v>7</v>
      </c>
      <c r="D186" t="s">
        <v>11</v>
      </c>
      <c r="E186" t="str">
        <f>"05.0125"</f>
        <v>05.0125</v>
      </c>
      <c r="F186" t="s">
        <v>194</v>
      </c>
    </row>
    <row r="187" spans="1:6" x14ac:dyDescent="0.25">
      <c r="A187" t="str">
        <f>"05.0126"</f>
        <v>05.0126</v>
      </c>
      <c r="B187" t="s">
        <v>195</v>
      </c>
      <c r="C187" t="s">
        <v>7</v>
      </c>
      <c r="D187" t="s">
        <v>11</v>
      </c>
      <c r="E187" t="str">
        <f>"05.0126"</f>
        <v>05.0126</v>
      </c>
      <c r="F187" t="s">
        <v>195</v>
      </c>
    </row>
    <row r="188" spans="1:6" x14ac:dyDescent="0.25">
      <c r="A188" t="str">
        <f>"05.0127"</f>
        <v>05.0127</v>
      </c>
      <c r="B188" t="s">
        <v>196</v>
      </c>
      <c r="C188" t="s">
        <v>7</v>
      </c>
      <c r="D188" t="s">
        <v>11</v>
      </c>
      <c r="E188" t="str">
        <f>"05.0127"</f>
        <v>05.0127</v>
      </c>
      <c r="F188" t="s">
        <v>196</v>
      </c>
    </row>
    <row r="189" spans="1:6" x14ac:dyDescent="0.25">
      <c r="A189" t="str">
        <f>"05.0128"</f>
        <v>05.0128</v>
      </c>
      <c r="B189" t="s">
        <v>197</v>
      </c>
      <c r="C189" t="s">
        <v>7</v>
      </c>
      <c r="D189" t="s">
        <v>11</v>
      </c>
      <c r="E189" t="str">
        <f>"05.0128"</f>
        <v>05.0128</v>
      </c>
      <c r="F189" t="s">
        <v>197</v>
      </c>
    </row>
    <row r="190" spans="1:6" x14ac:dyDescent="0.25">
      <c r="A190" t="str">
        <f>"05.0129"</f>
        <v>05.0129</v>
      </c>
      <c r="B190" t="s">
        <v>198</v>
      </c>
      <c r="C190" t="s">
        <v>7</v>
      </c>
      <c r="D190" t="s">
        <v>11</v>
      </c>
      <c r="E190" t="str">
        <f>"05.0129"</f>
        <v>05.0129</v>
      </c>
      <c r="F190" t="s">
        <v>198</v>
      </c>
    </row>
    <row r="191" spans="1:6" x14ac:dyDescent="0.25">
      <c r="A191" t="str">
        <f>"05.0130"</f>
        <v>05.0130</v>
      </c>
      <c r="B191" t="s">
        <v>199</v>
      </c>
      <c r="C191" t="s">
        <v>7</v>
      </c>
      <c r="D191" t="s">
        <v>11</v>
      </c>
      <c r="E191" t="str">
        <f>"05.0130"</f>
        <v>05.0130</v>
      </c>
      <c r="F191" t="s">
        <v>199</v>
      </c>
    </row>
    <row r="192" spans="1:6" x14ac:dyDescent="0.25">
      <c r="A192" t="str">
        <f>"05.0131"</f>
        <v>05.0131</v>
      </c>
      <c r="B192" t="s">
        <v>200</v>
      </c>
      <c r="C192" t="s">
        <v>7</v>
      </c>
      <c r="D192" t="s">
        <v>11</v>
      </c>
      <c r="E192" t="str">
        <f>"05.0131"</f>
        <v>05.0131</v>
      </c>
      <c r="F192" t="s">
        <v>200</v>
      </c>
    </row>
    <row r="193" spans="1:6" x14ac:dyDescent="0.25">
      <c r="A193" t="str">
        <f>"05.0132"</f>
        <v>05.0132</v>
      </c>
      <c r="B193" t="s">
        <v>201</v>
      </c>
      <c r="C193" t="s">
        <v>7</v>
      </c>
      <c r="D193" t="s">
        <v>11</v>
      </c>
      <c r="E193" t="str">
        <f>"05.0132"</f>
        <v>05.0132</v>
      </c>
      <c r="F193" t="s">
        <v>201</v>
      </c>
    </row>
    <row r="194" spans="1:6" x14ac:dyDescent="0.25">
      <c r="A194" t="str">
        <f>"05.0133"</f>
        <v>05.0133</v>
      </c>
      <c r="B194" t="s">
        <v>202</v>
      </c>
      <c r="C194" t="s">
        <v>7</v>
      </c>
      <c r="D194" t="s">
        <v>11</v>
      </c>
      <c r="E194" t="str">
        <f>"05.0133"</f>
        <v>05.0133</v>
      </c>
      <c r="F194" t="s">
        <v>202</v>
      </c>
    </row>
    <row r="195" spans="1:6" x14ac:dyDescent="0.25">
      <c r="A195" t="str">
        <f>"05.0134"</f>
        <v>05.0134</v>
      </c>
      <c r="B195" t="s">
        <v>203</v>
      </c>
      <c r="C195" t="s">
        <v>7</v>
      </c>
      <c r="D195" t="s">
        <v>11</v>
      </c>
      <c r="E195" t="str">
        <f>"05.0134"</f>
        <v>05.0134</v>
      </c>
      <c r="F195" t="s">
        <v>203</v>
      </c>
    </row>
    <row r="196" spans="1:6" x14ac:dyDescent="0.25">
      <c r="C196" t="s">
        <v>26</v>
      </c>
      <c r="D196" t="s">
        <v>11</v>
      </c>
      <c r="E196" t="str">
        <f>"05.0135"</f>
        <v>05.0135</v>
      </c>
      <c r="F196" t="s">
        <v>204</v>
      </c>
    </row>
    <row r="197" spans="1:6" x14ac:dyDescent="0.25">
      <c r="C197" t="s">
        <v>26</v>
      </c>
      <c r="D197" t="s">
        <v>11</v>
      </c>
      <c r="E197" t="str">
        <f>"05.0136"</f>
        <v>05.0136</v>
      </c>
      <c r="F197" t="s">
        <v>205</v>
      </c>
    </row>
    <row r="198" spans="1:6" x14ac:dyDescent="0.25">
      <c r="A198" t="str">
        <f>"05.0199"</f>
        <v>05.0199</v>
      </c>
      <c r="B198" t="s">
        <v>206</v>
      </c>
      <c r="C198" t="s">
        <v>7</v>
      </c>
      <c r="D198" t="s">
        <v>11</v>
      </c>
      <c r="E198" t="str">
        <f>"05.0199"</f>
        <v>05.0199</v>
      </c>
      <c r="F198" t="s">
        <v>206</v>
      </c>
    </row>
    <row r="199" spans="1:6" x14ac:dyDescent="0.25">
      <c r="A199" t="str">
        <f>"05.02"</f>
        <v>05.02</v>
      </c>
      <c r="B199" t="s">
        <v>207</v>
      </c>
      <c r="C199" t="s">
        <v>7</v>
      </c>
      <c r="D199" t="s">
        <v>11</v>
      </c>
      <c r="E199" t="str">
        <f>"05.02"</f>
        <v>05.02</v>
      </c>
      <c r="F199" t="s">
        <v>207</v>
      </c>
    </row>
    <row r="200" spans="1:6" x14ac:dyDescent="0.25">
      <c r="A200" t="str">
        <f>"05.0200"</f>
        <v>05.0200</v>
      </c>
      <c r="B200" t="s">
        <v>208</v>
      </c>
      <c r="C200" t="s">
        <v>7</v>
      </c>
      <c r="D200" t="s">
        <v>11</v>
      </c>
      <c r="E200" t="str">
        <f>"05.0200"</f>
        <v>05.0200</v>
      </c>
      <c r="F200" t="s">
        <v>208</v>
      </c>
    </row>
    <row r="201" spans="1:6" x14ac:dyDescent="0.25">
      <c r="A201" t="str">
        <f>"05.0201"</f>
        <v>05.0201</v>
      </c>
      <c r="B201" t="s">
        <v>209</v>
      </c>
      <c r="C201" t="s">
        <v>7</v>
      </c>
      <c r="D201" t="s">
        <v>11</v>
      </c>
      <c r="E201" t="str">
        <f>"05.0201"</f>
        <v>05.0201</v>
      </c>
      <c r="F201" t="s">
        <v>209</v>
      </c>
    </row>
    <row r="202" spans="1:6" x14ac:dyDescent="0.25">
      <c r="A202" t="str">
        <f>"05.0202"</f>
        <v>05.0202</v>
      </c>
      <c r="B202" t="s">
        <v>210</v>
      </c>
      <c r="C202" t="s">
        <v>7</v>
      </c>
      <c r="D202" t="s">
        <v>11</v>
      </c>
      <c r="E202" t="str">
        <f>"05.0202"</f>
        <v>05.0202</v>
      </c>
      <c r="F202" t="s">
        <v>210</v>
      </c>
    </row>
    <row r="203" spans="1:6" x14ac:dyDescent="0.25">
      <c r="A203" t="str">
        <f>"05.0203"</f>
        <v>05.0203</v>
      </c>
      <c r="B203" t="s">
        <v>211</v>
      </c>
      <c r="C203" t="s">
        <v>7</v>
      </c>
      <c r="D203" t="s">
        <v>11</v>
      </c>
      <c r="E203" t="str">
        <f>"05.0203"</f>
        <v>05.0203</v>
      </c>
      <c r="F203" t="s">
        <v>211</v>
      </c>
    </row>
    <row r="204" spans="1:6" x14ac:dyDescent="0.25">
      <c r="A204" t="str">
        <f>"05.0206"</f>
        <v>05.0206</v>
      </c>
      <c r="B204" t="s">
        <v>212</v>
      </c>
      <c r="C204" t="s">
        <v>7</v>
      </c>
      <c r="D204" t="s">
        <v>11</v>
      </c>
      <c r="E204" t="str">
        <f>"05.0206"</f>
        <v>05.0206</v>
      </c>
      <c r="F204" t="s">
        <v>212</v>
      </c>
    </row>
    <row r="205" spans="1:6" x14ac:dyDescent="0.25">
      <c r="A205" t="str">
        <f>"05.0207"</f>
        <v>05.0207</v>
      </c>
      <c r="B205" t="s">
        <v>213</v>
      </c>
      <c r="C205" t="s">
        <v>7</v>
      </c>
      <c r="D205" t="s">
        <v>11</v>
      </c>
      <c r="E205" t="str">
        <f>"05.0207"</f>
        <v>05.0207</v>
      </c>
      <c r="F205" t="s">
        <v>213</v>
      </c>
    </row>
    <row r="206" spans="1:6" x14ac:dyDescent="0.25">
      <c r="A206" t="str">
        <f>"05.0208"</f>
        <v>05.0208</v>
      </c>
      <c r="B206" t="s">
        <v>214</v>
      </c>
      <c r="C206" t="s">
        <v>7</v>
      </c>
      <c r="D206" t="s">
        <v>11</v>
      </c>
      <c r="E206" t="str">
        <f>"05.0208"</f>
        <v>05.0208</v>
      </c>
      <c r="F206" t="s">
        <v>214</v>
      </c>
    </row>
    <row r="207" spans="1:6" x14ac:dyDescent="0.25">
      <c r="A207" t="str">
        <f>"05.0209"</f>
        <v>05.0209</v>
      </c>
      <c r="B207" t="s">
        <v>215</v>
      </c>
      <c r="C207" t="s">
        <v>7</v>
      </c>
      <c r="D207" t="s">
        <v>11</v>
      </c>
      <c r="E207" t="str">
        <f>"05.0209"</f>
        <v>05.0209</v>
      </c>
      <c r="F207" t="s">
        <v>215</v>
      </c>
    </row>
    <row r="208" spans="1:6" x14ac:dyDescent="0.25">
      <c r="A208" t="str">
        <f>"05.0210"</f>
        <v>05.0210</v>
      </c>
      <c r="B208" t="s">
        <v>216</v>
      </c>
      <c r="C208" t="s">
        <v>7</v>
      </c>
      <c r="D208" t="s">
        <v>11</v>
      </c>
      <c r="E208" t="str">
        <f>"05.0210"</f>
        <v>05.0210</v>
      </c>
      <c r="F208" t="s">
        <v>216</v>
      </c>
    </row>
    <row r="209" spans="1:6" x14ac:dyDescent="0.25">
      <c r="A209" t="str">
        <f>"05.0211"</f>
        <v>05.0211</v>
      </c>
      <c r="B209" t="s">
        <v>217</v>
      </c>
      <c r="C209" t="s">
        <v>7</v>
      </c>
      <c r="D209" t="s">
        <v>11</v>
      </c>
      <c r="E209" t="str">
        <f>"05.0211"</f>
        <v>05.0211</v>
      </c>
      <c r="F209" t="s">
        <v>217</v>
      </c>
    </row>
    <row r="210" spans="1:6" x14ac:dyDescent="0.25">
      <c r="C210" t="s">
        <v>26</v>
      </c>
      <c r="D210" t="s">
        <v>11</v>
      </c>
      <c r="E210" t="str">
        <f>"05.0212"</f>
        <v>05.0212</v>
      </c>
      <c r="F210" t="s">
        <v>218</v>
      </c>
    </row>
    <row r="211" spans="1:6" x14ac:dyDescent="0.25">
      <c r="A211" t="str">
        <f>"05.0299"</f>
        <v>05.0299</v>
      </c>
      <c r="B211" t="s">
        <v>219</v>
      </c>
      <c r="C211" t="s">
        <v>7</v>
      </c>
      <c r="D211" t="s">
        <v>11</v>
      </c>
      <c r="E211" t="str">
        <f>"05.0299"</f>
        <v>05.0299</v>
      </c>
      <c r="F211" t="s">
        <v>219</v>
      </c>
    </row>
    <row r="212" spans="1:6" x14ac:dyDescent="0.25">
      <c r="C212" t="s">
        <v>26</v>
      </c>
      <c r="D212" t="s">
        <v>11</v>
      </c>
      <c r="E212" t="str">
        <f>"05.99"</f>
        <v>05.99</v>
      </c>
      <c r="F212" t="s">
        <v>220</v>
      </c>
    </row>
    <row r="213" spans="1:6" x14ac:dyDescent="0.25">
      <c r="C213" t="s">
        <v>26</v>
      </c>
      <c r="D213" t="s">
        <v>11</v>
      </c>
      <c r="E213" t="str">
        <f>"05.9999"</f>
        <v>05.9999</v>
      </c>
      <c r="F213" t="s">
        <v>220</v>
      </c>
    </row>
    <row r="214" spans="1:6" x14ac:dyDescent="0.25">
      <c r="A214" t="str">
        <f>"09"</f>
        <v>09</v>
      </c>
      <c r="B214" t="s">
        <v>221</v>
      </c>
      <c r="C214" t="s">
        <v>7</v>
      </c>
      <c r="D214" t="s">
        <v>11</v>
      </c>
      <c r="E214" t="str">
        <f>"09"</f>
        <v>09</v>
      </c>
      <c r="F214" t="s">
        <v>221</v>
      </c>
    </row>
    <row r="215" spans="1:6" x14ac:dyDescent="0.25">
      <c r="A215" t="str">
        <f>"09.01"</f>
        <v>09.01</v>
      </c>
      <c r="B215" t="s">
        <v>222</v>
      </c>
      <c r="C215" t="s">
        <v>7</v>
      </c>
      <c r="D215" t="s">
        <v>11</v>
      </c>
      <c r="E215" t="str">
        <f>"09.01"</f>
        <v>09.01</v>
      </c>
      <c r="F215" t="s">
        <v>222</v>
      </c>
    </row>
    <row r="216" spans="1:6" x14ac:dyDescent="0.25">
      <c r="A216" t="str">
        <f>"09.0100"</f>
        <v>09.0100</v>
      </c>
      <c r="B216" t="s">
        <v>223</v>
      </c>
      <c r="C216" t="s">
        <v>7</v>
      </c>
      <c r="D216" t="s">
        <v>11</v>
      </c>
      <c r="E216" t="str">
        <f>"09.0100"</f>
        <v>09.0100</v>
      </c>
      <c r="F216" t="s">
        <v>223</v>
      </c>
    </row>
    <row r="217" spans="1:6" x14ac:dyDescent="0.25">
      <c r="A217" t="str">
        <f>"09.0101"</f>
        <v>09.0101</v>
      </c>
      <c r="B217" t="s">
        <v>224</v>
      </c>
      <c r="C217" t="s">
        <v>7</v>
      </c>
      <c r="D217" t="s">
        <v>11</v>
      </c>
      <c r="E217" t="str">
        <f>"09.0101"</f>
        <v>09.0101</v>
      </c>
      <c r="F217" t="s">
        <v>224</v>
      </c>
    </row>
    <row r="218" spans="1:6" x14ac:dyDescent="0.25">
      <c r="A218" t="str">
        <f>"09.0102"</f>
        <v>09.0102</v>
      </c>
      <c r="B218" t="s">
        <v>225</v>
      </c>
      <c r="C218" t="s">
        <v>7</v>
      </c>
      <c r="D218" t="s">
        <v>11</v>
      </c>
      <c r="E218" t="str">
        <f>"09.0102"</f>
        <v>09.0102</v>
      </c>
      <c r="F218" t="s">
        <v>225</v>
      </c>
    </row>
    <row r="219" spans="1:6" x14ac:dyDescent="0.25">
      <c r="A219" t="str">
        <f>"09.0199"</f>
        <v>09.0199</v>
      </c>
      <c r="B219" t="s">
        <v>226</v>
      </c>
      <c r="C219" t="s">
        <v>7</v>
      </c>
      <c r="D219" t="s">
        <v>11</v>
      </c>
      <c r="E219" t="str">
        <f>"09.0199"</f>
        <v>09.0199</v>
      </c>
      <c r="F219" t="s">
        <v>226</v>
      </c>
    </row>
    <row r="220" spans="1:6" x14ac:dyDescent="0.25">
      <c r="A220" t="str">
        <f>"09.04"</f>
        <v>09.04</v>
      </c>
      <c r="B220" t="s">
        <v>227</v>
      </c>
      <c r="C220" t="s">
        <v>7</v>
      </c>
      <c r="D220" t="s">
        <v>11</v>
      </c>
      <c r="E220" t="str">
        <f>"09.04"</f>
        <v>09.04</v>
      </c>
      <c r="F220" t="s">
        <v>227</v>
      </c>
    </row>
    <row r="221" spans="1:6" x14ac:dyDescent="0.25">
      <c r="A221" t="str">
        <f>"09.0401"</f>
        <v>09.0401</v>
      </c>
      <c r="B221" t="s">
        <v>227</v>
      </c>
      <c r="C221" t="s">
        <v>7</v>
      </c>
      <c r="D221" t="s">
        <v>11</v>
      </c>
      <c r="E221" t="str">
        <f>"09.0401"</f>
        <v>09.0401</v>
      </c>
      <c r="F221" t="s">
        <v>227</v>
      </c>
    </row>
    <row r="222" spans="1:6" x14ac:dyDescent="0.25">
      <c r="A222" t="str">
        <f>"09.0402"</f>
        <v>09.0402</v>
      </c>
      <c r="B222" t="s">
        <v>228</v>
      </c>
      <c r="C222" t="s">
        <v>7</v>
      </c>
      <c r="D222" t="s">
        <v>11</v>
      </c>
      <c r="E222" t="str">
        <f>"09.0402"</f>
        <v>09.0402</v>
      </c>
      <c r="F222" t="s">
        <v>228</v>
      </c>
    </row>
    <row r="223" spans="1:6" x14ac:dyDescent="0.25">
      <c r="A223" t="str">
        <f>"09.0404"</f>
        <v>09.0404</v>
      </c>
      <c r="B223" t="s">
        <v>229</v>
      </c>
      <c r="C223" t="s">
        <v>7</v>
      </c>
      <c r="D223" t="s">
        <v>11</v>
      </c>
      <c r="E223" t="str">
        <f>"09.0404"</f>
        <v>09.0404</v>
      </c>
      <c r="F223" t="s">
        <v>229</v>
      </c>
    </row>
    <row r="224" spans="1:6" x14ac:dyDescent="0.25">
      <c r="C224" t="s">
        <v>26</v>
      </c>
      <c r="D224" t="s">
        <v>11</v>
      </c>
      <c r="E224" t="str">
        <f>"09.0405"</f>
        <v>09.0405</v>
      </c>
      <c r="F224" t="s">
        <v>230</v>
      </c>
    </row>
    <row r="225" spans="1:6" x14ac:dyDescent="0.25">
      <c r="C225" t="s">
        <v>26</v>
      </c>
      <c r="D225" t="s">
        <v>11</v>
      </c>
      <c r="E225" t="str">
        <f>"09.0406"</f>
        <v>09.0406</v>
      </c>
      <c r="F225" t="s">
        <v>231</v>
      </c>
    </row>
    <row r="226" spans="1:6" x14ac:dyDescent="0.25">
      <c r="C226" t="s">
        <v>26</v>
      </c>
      <c r="D226" t="s">
        <v>11</v>
      </c>
      <c r="E226" t="str">
        <f>"09.0407"</f>
        <v>09.0407</v>
      </c>
      <c r="F226" t="s">
        <v>232</v>
      </c>
    </row>
    <row r="227" spans="1:6" x14ac:dyDescent="0.25">
      <c r="A227" t="str">
        <f>"09.0499"</f>
        <v>09.0499</v>
      </c>
      <c r="B227" t="s">
        <v>233</v>
      </c>
      <c r="C227" t="s">
        <v>7</v>
      </c>
      <c r="D227" t="s">
        <v>11</v>
      </c>
      <c r="E227" t="str">
        <f>"09.0499"</f>
        <v>09.0499</v>
      </c>
      <c r="F227" t="s">
        <v>233</v>
      </c>
    </row>
    <row r="228" spans="1:6" x14ac:dyDescent="0.25">
      <c r="A228" t="str">
        <f>"09.07"</f>
        <v>09.07</v>
      </c>
      <c r="B228" t="s">
        <v>234</v>
      </c>
      <c r="C228" t="s">
        <v>7</v>
      </c>
      <c r="D228" t="s">
        <v>11</v>
      </c>
      <c r="E228" t="str">
        <f>"09.07"</f>
        <v>09.07</v>
      </c>
      <c r="F228" t="s">
        <v>234</v>
      </c>
    </row>
    <row r="229" spans="1:6" x14ac:dyDescent="0.25">
      <c r="A229" t="str">
        <f>"09.0701"</f>
        <v>09.0701</v>
      </c>
      <c r="B229" t="s">
        <v>235</v>
      </c>
      <c r="C229" t="s">
        <v>7</v>
      </c>
      <c r="D229" t="s">
        <v>11</v>
      </c>
      <c r="E229" t="str">
        <f>"09.0701"</f>
        <v>09.0701</v>
      </c>
      <c r="F229" t="s">
        <v>235</v>
      </c>
    </row>
    <row r="230" spans="1:6" x14ac:dyDescent="0.25">
      <c r="A230" t="str">
        <f>"09.0702"</f>
        <v>09.0702</v>
      </c>
      <c r="B230" t="s">
        <v>236</v>
      </c>
      <c r="C230" t="s">
        <v>7</v>
      </c>
      <c r="D230" t="s">
        <v>11</v>
      </c>
      <c r="E230" t="str">
        <f>"09.0702"</f>
        <v>09.0702</v>
      </c>
      <c r="F230" t="s">
        <v>236</v>
      </c>
    </row>
    <row r="231" spans="1:6" x14ac:dyDescent="0.25">
      <c r="A231" t="str">
        <f>"09.0799"</f>
        <v>09.0799</v>
      </c>
      <c r="B231" t="s">
        <v>237</v>
      </c>
      <c r="C231" t="s">
        <v>7</v>
      </c>
      <c r="D231" t="s">
        <v>11</v>
      </c>
      <c r="E231" t="str">
        <f>"09.0799"</f>
        <v>09.0799</v>
      </c>
      <c r="F231" t="s">
        <v>237</v>
      </c>
    </row>
    <row r="232" spans="1:6" x14ac:dyDescent="0.25">
      <c r="A232" t="str">
        <f>"09.09"</f>
        <v>09.09</v>
      </c>
      <c r="B232" t="s">
        <v>238</v>
      </c>
      <c r="C232" t="s">
        <v>7</v>
      </c>
      <c r="D232" t="s">
        <v>11</v>
      </c>
      <c r="E232" t="str">
        <f>"09.09"</f>
        <v>09.09</v>
      </c>
      <c r="F232" t="s">
        <v>238</v>
      </c>
    </row>
    <row r="233" spans="1:6" x14ac:dyDescent="0.25">
      <c r="A233" t="str">
        <f>"09.0900"</f>
        <v>09.0900</v>
      </c>
      <c r="B233" t="s">
        <v>238</v>
      </c>
      <c r="C233" t="s">
        <v>7</v>
      </c>
      <c r="D233" t="s">
        <v>11</v>
      </c>
      <c r="E233" t="str">
        <f>"09.0900"</f>
        <v>09.0900</v>
      </c>
      <c r="F233" t="s">
        <v>238</v>
      </c>
    </row>
    <row r="234" spans="1:6" x14ac:dyDescent="0.25">
      <c r="A234" t="str">
        <f>"09.0901"</f>
        <v>09.0901</v>
      </c>
      <c r="B234" t="s">
        <v>239</v>
      </c>
      <c r="C234" t="s">
        <v>7</v>
      </c>
      <c r="D234" t="s">
        <v>11</v>
      </c>
      <c r="E234" t="str">
        <f>"09.0901"</f>
        <v>09.0901</v>
      </c>
      <c r="F234" t="s">
        <v>239</v>
      </c>
    </row>
    <row r="235" spans="1:6" x14ac:dyDescent="0.25">
      <c r="A235" t="str">
        <f>"09.0902"</f>
        <v>09.0902</v>
      </c>
      <c r="B235" t="s">
        <v>240</v>
      </c>
      <c r="C235" t="s">
        <v>7</v>
      </c>
      <c r="D235" t="s">
        <v>11</v>
      </c>
      <c r="E235" t="str">
        <f>"09.0902"</f>
        <v>09.0902</v>
      </c>
      <c r="F235" t="s">
        <v>240</v>
      </c>
    </row>
    <row r="236" spans="1:6" x14ac:dyDescent="0.25">
      <c r="A236" t="str">
        <f>"09.0903"</f>
        <v>09.0903</v>
      </c>
      <c r="B236" t="s">
        <v>241</v>
      </c>
      <c r="C236" t="s">
        <v>7</v>
      </c>
      <c r="D236" t="s">
        <v>11</v>
      </c>
      <c r="E236" t="str">
        <f>"09.0903"</f>
        <v>09.0903</v>
      </c>
      <c r="F236" t="s">
        <v>241</v>
      </c>
    </row>
    <row r="237" spans="1:6" x14ac:dyDescent="0.25">
      <c r="A237" t="str">
        <f>"09.0904"</f>
        <v>09.0904</v>
      </c>
      <c r="B237" t="s">
        <v>242</v>
      </c>
      <c r="C237" t="s">
        <v>7</v>
      </c>
      <c r="D237" t="s">
        <v>11</v>
      </c>
      <c r="E237" t="str">
        <f>"09.0904"</f>
        <v>09.0904</v>
      </c>
      <c r="F237" t="s">
        <v>242</v>
      </c>
    </row>
    <row r="238" spans="1:6" x14ac:dyDescent="0.25">
      <c r="A238" t="str">
        <f>"09.0905"</f>
        <v>09.0905</v>
      </c>
      <c r="B238" t="s">
        <v>243</v>
      </c>
      <c r="C238" t="s">
        <v>7</v>
      </c>
      <c r="D238" t="s">
        <v>11</v>
      </c>
      <c r="E238" t="str">
        <f>"09.0905"</f>
        <v>09.0905</v>
      </c>
      <c r="F238" t="s">
        <v>243</v>
      </c>
    </row>
    <row r="239" spans="1:6" x14ac:dyDescent="0.25">
      <c r="A239" t="str">
        <f>"09.0906"</f>
        <v>09.0906</v>
      </c>
      <c r="B239" t="s">
        <v>244</v>
      </c>
      <c r="C239" t="s">
        <v>7</v>
      </c>
      <c r="D239" t="s">
        <v>11</v>
      </c>
      <c r="E239" t="str">
        <f>"09.0906"</f>
        <v>09.0906</v>
      </c>
      <c r="F239" t="s">
        <v>244</v>
      </c>
    </row>
    <row r="240" spans="1:6" x14ac:dyDescent="0.25">
      <c r="A240" t="str">
        <f>"09.0907"</f>
        <v>09.0907</v>
      </c>
      <c r="B240" t="s">
        <v>245</v>
      </c>
      <c r="C240" t="s">
        <v>7</v>
      </c>
      <c r="D240" t="s">
        <v>11</v>
      </c>
      <c r="E240" t="str">
        <f>"09.0907"</f>
        <v>09.0907</v>
      </c>
      <c r="F240" t="s">
        <v>245</v>
      </c>
    </row>
    <row r="241" spans="1:6" x14ac:dyDescent="0.25">
      <c r="A241" t="str">
        <f>"09.0908"</f>
        <v>09.0908</v>
      </c>
      <c r="B241" t="s">
        <v>246</v>
      </c>
      <c r="C241" t="s">
        <v>7</v>
      </c>
      <c r="D241" t="s">
        <v>11</v>
      </c>
      <c r="E241" t="str">
        <f>"09.0908"</f>
        <v>09.0908</v>
      </c>
      <c r="F241" t="s">
        <v>246</v>
      </c>
    </row>
    <row r="242" spans="1:6" x14ac:dyDescent="0.25">
      <c r="C242" t="s">
        <v>26</v>
      </c>
      <c r="D242" t="s">
        <v>11</v>
      </c>
      <c r="E242" t="str">
        <f>"09.0909"</f>
        <v>09.0909</v>
      </c>
      <c r="F242" t="s">
        <v>247</v>
      </c>
    </row>
    <row r="243" spans="1:6" x14ac:dyDescent="0.25">
      <c r="A243" t="str">
        <f>"09.0999"</f>
        <v>09.0999</v>
      </c>
      <c r="B243" t="s">
        <v>248</v>
      </c>
      <c r="C243" t="s">
        <v>7</v>
      </c>
      <c r="D243" t="s">
        <v>11</v>
      </c>
      <c r="E243" t="str">
        <f>"09.0999"</f>
        <v>09.0999</v>
      </c>
      <c r="F243" t="s">
        <v>249</v>
      </c>
    </row>
    <row r="244" spans="1:6" x14ac:dyDescent="0.25">
      <c r="A244" t="str">
        <f>"09.10"</f>
        <v>09.10</v>
      </c>
      <c r="B244" t="s">
        <v>250</v>
      </c>
      <c r="C244" t="s">
        <v>7</v>
      </c>
      <c r="D244" t="s">
        <v>11</v>
      </c>
      <c r="E244" t="str">
        <f>"09.10"</f>
        <v>09.10</v>
      </c>
      <c r="F244" t="s">
        <v>250</v>
      </c>
    </row>
    <row r="245" spans="1:6" x14ac:dyDescent="0.25">
      <c r="A245" t="str">
        <f>"09.1001"</f>
        <v>09.1001</v>
      </c>
      <c r="B245" t="s">
        <v>250</v>
      </c>
      <c r="C245" t="s">
        <v>7</v>
      </c>
      <c r="D245" t="s">
        <v>11</v>
      </c>
      <c r="E245" t="str">
        <f>"09.1001"</f>
        <v>09.1001</v>
      </c>
      <c r="F245" t="s">
        <v>250</v>
      </c>
    </row>
    <row r="246" spans="1:6" x14ac:dyDescent="0.25">
      <c r="A246" t="str">
        <f>"09.99"</f>
        <v>09.99</v>
      </c>
      <c r="B246" t="s">
        <v>251</v>
      </c>
      <c r="C246" t="s">
        <v>7</v>
      </c>
      <c r="D246" t="s">
        <v>11</v>
      </c>
      <c r="E246" t="str">
        <f>"09.99"</f>
        <v>09.99</v>
      </c>
      <c r="F246" t="s">
        <v>251</v>
      </c>
    </row>
    <row r="247" spans="1:6" x14ac:dyDescent="0.25">
      <c r="A247" t="str">
        <f>"09.9999"</f>
        <v>09.9999</v>
      </c>
      <c r="B247" t="s">
        <v>251</v>
      </c>
      <c r="C247" t="s">
        <v>7</v>
      </c>
      <c r="D247" t="s">
        <v>11</v>
      </c>
      <c r="E247" t="str">
        <f>"09.9999"</f>
        <v>09.9999</v>
      </c>
      <c r="F247" t="s">
        <v>251</v>
      </c>
    </row>
    <row r="248" spans="1:6" x14ac:dyDescent="0.25">
      <c r="A248" t="str">
        <f>"10"</f>
        <v>10</v>
      </c>
      <c r="B248" t="s">
        <v>252</v>
      </c>
      <c r="C248" t="s">
        <v>7</v>
      </c>
      <c r="D248" t="s">
        <v>11</v>
      </c>
      <c r="E248" t="str">
        <f>"10"</f>
        <v>10</v>
      </c>
      <c r="F248" t="s">
        <v>252</v>
      </c>
    </row>
    <row r="249" spans="1:6" x14ac:dyDescent="0.25">
      <c r="A249" t="str">
        <f>"10.01"</f>
        <v>10.01</v>
      </c>
      <c r="B249" t="s">
        <v>253</v>
      </c>
      <c r="C249" t="s">
        <v>7</v>
      </c>
      <c r="D249" t="s">
        <v>8</v>
      </c>
      <c r="E249" t="str">
        <f>"10.01"</f>
        <v>10.01</v>
      </c>
      <c r="F249" t="s">
        <v>254</v>
      </c>
    </row>
    <row r="250" spans="1:6" x14ac:dyDescent="0.25">
      <c r="A250" t="str">
        <f>"10.0105"</f>
        <v>10.0105</v>
      </c>
      <c r="B250" t="s">
        <v>253</v>
      </c>
      <c r="C250" t="s">
        <v>7</v>
      </c>
      <c r="D250" t="s">
        <v>11</v>
      </c>
      <c r="E250" t="str">
        <f>"10.0105"</f>
        <v>10.0105</v>
      </c>
      <c r="F250" t="s">
        <v>253</v>
      </c>
    </row>
    <row r="251" spans="1:6" x14ac:dyDescent="0.25">
      <c r="A251" t="str">
        <f>"10.02"</f>
        <v>10.02</v>
      </c>
      <c r="B251" t="s">
        <v>255</v>
      </c>
      <c r="C251" t="s">
        <v>7</v>
      </c>
      <c r="D251" t="s">
        <v>8</v>
      </c>
      <c r="E251" t="str">
        <f>"10.02"</f>
        <v>10.02</v>
      </c>
      <c r="F251" t="s">
        <v>255</v>
      </c>
    </row>
    <row r="252" spans="1:6" x14ac:dyDescent="0.25">
      <c r="A252" t="str">
        <f>"10.0201"</f>
        <v>10.0201</v>
      </c>
      <c r="B252" t="s">
        <v>256</v>
      </c>
      <c r="C252" t="s">
        <v>7</v>
      </c>
      <c r="D252" t="s">
        <v>8</v>
      </c>
      <c r="E252" t="str">
        <f>"10.0201"</f>
        <v>10.0201</v>
      </c>
      <c r="F252" t="s">
        <v>257</v>
      </c>
    </row>
    <row r="253" spans="1:6" x14ac:dyDescent="0.25">
      <c r="A253" t="str">
        <f>"10.0202"</f>
        <v>10.0202</v>
      </c>
      <c r="B253" t="s">
        <v>258</v>
      </c>
      <c r="C253" t="s">
        <v>7</v>
      </c>
      <c r="D253" t="s">
        <v>8</v>
      </c>
      <c r="E253" t="str">
        <f>"10.0202"</f>
        <v>10.0202</v>
      </c>
      <c r="F253" t="s">
        <v>258</v>
      </c>
    </row>
    <row r="254" spans="1:6" x14ac:dyDescent="0.25">
      <c r="A254" t="str">
        <f>"10.0203"</f>
        <v>10.0203</v>
      </c>
      <c r="B254" t="s">
        <v>259</v>
      </c>
      <c r="C254" t="s">
        <v>7</v>
      </c>
      <c r="D254" t="s">
        <v>8</v>
      </c>
      <c r="E254" t="str">
        <f>"10.0203"</f>
        <v>10.0203</v>
      </c>
      <c r="F254" t="s">
        <v>259</v>
      </c>
    </row>
    <row r="255" spans="1:6" x14ac:dyDescent="0.25">
      <c r="C255" t="s">
        <v>26</v>
      </c>
      <c r="D255" t="s">
        <v>11</v>
      </c>
      <c r="E255" t="str">
        <f>"10.0204"</f>
        <v>10.0204</v>
      </c>
      <c r="F255" t="s">
        <v>260</v>
      </c>
    </row>
    <row r="256" spans="1:6" x14ac:dyDescent="0.25">
      <c r="A256" t="str">
        <f>"10.0299"</f>
        <v>10.0299</v>
      </c>
      <c r="B256" t="s">
        <v>261</v>
      </c>
      <c r="C256" t="s">
        <v>7</v>
      </c>
      <c r="D256" t="s">
        <v>8</v>
      </c>
      <c r="E256" t="str">
        <f>"10.0299"</f>
        <v>10.0299</v>
      </c>
      <c r="F256" t="s">
        <v>261</v>
      </c>
    </row>
    <row r="257" spans="1:6" x14ac:dyDescent="0.25">
      <c r="A257" t="str">
        <f>"10.03"</f>
        <v>10.03</v>
      </c>
      <c r="B257" t="s">
        <v>262</v>
      </c>
      <c r="C257" t="s">
        <v>7</v>
      </c>
      <c r="D257" t="s">
        <v>11</v>
      </c>
      <c r="E257" t="str">
        <f>"10.03"</f>
        <v>10.03</v>
      </c>
      <c r="F257" t="s">
        <v>262</v>
      </c>
    </row>
    <row r="258" spans="1:6" x14ac:dyDescent="0.25">
      <c r="A258" t="str">
        <f>"10.0301"</f>
        <v>10.0301</v>
      </c>
      <c r="B258" t="s">
        <v>263</v>
      </c>
      <c r="C258" t="s">
        <v>7</v>
      </c>
      <c r="D258" t="s">
        <v>11</v>
      </c>
      <c r="E258" t="str">
        <f>"10.0301"</f>
        <v>10.0301</v>
      </c>
      <c r="F258" t="s">
        <v>263</v>
      </c>
    </row>
    <row r="259" spans="1:6" x14ac:dyDescent="0.25">
      <c r="A259" t="str">
        <f>"10.0302"</f>
        <v>10.0302</v>
      </c>
      <c r="B259" t="s">
        <v>264</v>
      </c>
      <c r="C259" t="s">
        <v>7</v>
      </c>
      <c r="D259" t="s">
        <v>11</v>
      </c>
      <c r="E259" t="str">
        <f>"10.0302"</f>
        <v>10.0302</v>
      </c>
      <c r="F259" t="s">
        <v>264</v>
      </c>
    </row>
    <row r="260" spans="1:6" x14ac:dyDescent="0.25">
      <c r="A260" t="str">
        <f>"10.0303"</f>
        <v>10.0303</v>
      </c>
      <c r="B260" t="s">
        <v>265</v>
      </c>
      <c r="C260" t="s">
        <v>7</v>
      </c>
      <c r="D260" t="s">
        <v>11</v>
      </c>
      <c r="E260" t="str">
        <f>"10.0303"</f>
        <v>10.0303</v>
      </c>
      <c r="F260" t="s">
        <v>265</v>
      </c>
    </row>
    <row r="261" spans="1:6" x14ac:dyDescent="0.25">
      <c r="A261" t="str">
        <f>"10.0304"</f>
        <v>10.0304</v>
      </c>
      <c r="B261" t="s">
        <v>266</v>
      </c>
      <c r="C261" t="s">
        <v>7</v>
      </c>
      <c r="D261" t="s">
        <v>11</v>
      </c>
      <c r="E261" t="str">
        <f>"10.0304"</f>
        <v>10.0304</v>
      </c>
      <c r="F261" t="s">
        <v>267</v>
      </c>
    </row>
    <row r="262" spans="1:6" x14ac:dyDescent="0.25">
      <c r="A262" t="str">
        <f>"10.0305"</f>
        <v>10.0305</v>
      </c>
      <c r="B262" t="s">
        <v>268</v>
      </c>
      <c r="C262" t="s">
        <v>7</v>
      </c>
      <c r="D262" t="s">
        <v>11</v>
      </c>
      <c r="E262" t="str">
        <f>"10.0305"</f>
        <v>10.0305</v>
      </c>
      <c r="F262" t="s">
        <v>268</v>
      </c>
    </row>
    <row r="263" spans="1:6" x14ac:dyDescent="0.25">
      <c r="A263" t="str">
        <f>"10.0306"</f>
        <v>10.0306</v>
      </c>
      <c r="B263" t="s">
        <v>269</v>
      </c>
      <c r="C263" t="s">
        <v>7</v>
      </c>
      <c r="D263" t="s">
        <v>11</v>
      </c>
      <c r="E263" t="str">
        <f>"10.0306"</f>
        <v>10.0306</v>
      </c>
      <c r="F263" t="s">
        <v>269</v>
      </c>
    </row>
    <row r="264" spans="1:6" x14ac:dyDescent="0.25">
      <c r="A264" t="str">
        <f>"10.0307"</f>
        <v>10.0307</v>
      </c>
      <c r="B264" t="s">
        <v>270</v>
      </c>
      <c r="C264" t="s">
        <v>7</v>
      </c>
      <c r="D264" t="s">
        <v>11</v>
      </c>
      <c r="E264" t="str">
        <f>"10.0307"</f>
        <v>10.0307</v>
      </c>
      <c r="F264" t="s">
        <v>270</v>
      </c>
    </row>
    <row r="265" spans="1:6" x14ac:dyDescent="0.25">
      <c r="A265" t="str">
        <f>"10.0308"</f>
        <v>10.0308</v>
      </c>
      <c r="B265" t="s">
        <v>271</v>
      </c>
      <c r="C265" t="s">
        <v>7</v>
      </c>
      <c r="D265" t="s">
        <v>11</v>
      </c>
      <c r="E265" t="str">
        <f>"10.0308"</f>
        <v>10.0308</v>
      </c>
      <c r="F265" t="s">
        <v>271</v>
      </c>
    </row>
    <row r="266" spans="1:6" x14ac:dyDescent="0.25">
      <c r="A266" t="str">
        <f>"10.0399"</f>
        <v>10.0399</v>
      </c>
      <c r="B266" t="s">
        <v>272</v>
      </c>
      <c r="C266" t="s">
        <v>7</v>
      </c>
      <c r="D266" t="s">
        <v>11</v>
      </c>
      <c r="E266" t="str">
        <f>"10.0399"</f>
        <v>10.0399</v>
      </c>
      <c r="F266" t="s">
        <v>272</v>
      </c>
    </row>
    <row r="267" spans="1:6" x14ac:dyDescent="0.25">
      <c r="A267" t="str">
        <f>"10.99"</f>
        <v>10.99</v>
      </c>
      <c r="B267" t="s">
        <v>273</v>
      </c>
      <c r="C267" t="s">
        <v>7</v>
      </c>
      <c r="D267" t="s">
        <v>11</v>
      </c>
      <c r="E267" t="str">
        <f>"10.99"</f>
        <v>10.99</v>
      </c>
      <c r="F267" t="s">
        <v>273</v>
      </c>
    </row>
    <row r="268" spans="1:6" x14ac:dyDescent="0.25">
      <c r="A268" t="str">
        <f>"10.9999"</f>
        <v>10.9999</v>
      </c>
      <c r="B268" t="s">
        <v>273</v>
      </c>
      <c r="C268" t="s">
        <v>7</v>
      </c>
      <c r="D268" t="s">
        <v>11</v>
      </c>
      <c r="E268" t="str">
        <f>"10.9999"</f>
        <v>10.9999</v>
      </c>
      <c r="F268" t="s">
        <v>273</v>
      </c>
    </row>
    <row r="269" spans="1:6" x14ac:dyDescent="0.25">
      <c r="A269" t="str">
        <f>"11"</f>
        <v>11</v>
      </c>
      <c r="B269" t="s">
        <v>274</v>
      </c>
      <c r="C269" t="s">
        <v>7</v>
      </c>
      <c r="D269" t="s">
        <v>11</v>
      </c>
      <c r="E269" t="str">
        <f>"11"</f>
        <v>11</v>
      </c>
      <c r="F269" t="s">
        <v>274</v>
      </c>
    </row>
    <row r="270" spans="1:6" x14ac:dyDescent="0.25">
      <c r="A270" t="str">
        <f>"11.01"</f>
        <v>11.01</v>
      </c>
      <c r="B270" t="s">
        <v>275</v>
      </c>
      <c r="C270" t="s">
        <v>7</v>
      </c>
      <c r="D270" t="s">
        <v>11</v>
      </c>
      <c r="E270" t="str">
        <f>"11.01"</f>
        <v>11.01</v>
      </c>
      <c r="F270" t="s">
        <v>275</v>
      </c>
    </row>
    <row r="271" spans="1:6" x14ac:dyDescent="0.25">
      <c r="A271" t="str">
        <f>"11.0101"</f>
        <v>11.0101</v>
      </c>
      <c r="B271" t="s">
        <v>275</v>
      </c>
      <c r="C271" t="s">
        <v>7</v>
      </c>
      <c r="D271" t="s">
        <v>11</v>
      </c>
      <c r="E271" t="str">
        <f>"11.0101"</f>
        <v>11.0101</v>
      </c>
      <c r="F271" t="s">
        <v>275</v>
      </c>
    </row>
    <row r="272" spans="1:6" x14ac:dyDescent="0.25">
      <c r="A272" t="str">
        <f>"11.0102"</f>
        <v>11.0102</v>
      </c>
      <c r="B272" t="s">
        <v>276</v>
      </c>
      <c r="C272" t="s">
        <v>7</v>
      </c>
      <c r="D272" t="s">
        <v>11</v>
      </c>
      <c r="E272" t="str">
        <f>"11.0102"</f>
        <v>11.0102</v>
      </c>
      <c r="F272" t="s">
        <v>276</v>
      </c>
    </row>
    <row r="273" spans="1:6" x14ac:dyDescent="0.25">
      <c r="A273" t="str">
        <f>"11.0103"</f>
        <v>11.0103</v>
      </c>
      <c r="B273" t="s">
        <v>277</v>
      </c>
      <c r="C273" t="s">
        <v>7</v>
      </c>
      <c r="D273" t="s">
        <v>11</v>
      </c>
      <c r="E273" t="str">
        <f>"11.0103"</f>
        <v>11.0103</v>
      </c>
      <c r="F273" t="s">
        <v>277</v>
      </c>
    </row>
    <row r="274" spans="1:6" x14ac:dyDescent="0.25">
      <c r="A274" t="str">
        <f>"11.0104"</f>
        <v>11.0104</v>
      </c>
      <c r="B274" t="s">
        <v>278</v>
      </c>
      <c r="C274" t="s">
        <v>7</v>
      </c>
      <c r="D274" t="s">
        <v>11</v>
      </c>
      <c r="E274" t="str">
        <f>"11.0104"</f>
        <v>11.0104</v>
      </c>
      <c r="F274" t="s">
        <v>278</v>
      </c>
    </row>
    <row r="275" spans="1:6" x14ac:dyDescent="0.25">
      <c r="C275" t="s">
        <v>26</v>
      </c>
      <c r="D275" t="s">
        <v>11</v>
      </c>
      <c r="E275" t="str">
        <f>"11.0105"</f>
        <v>11.0105</v>
      </c>
      <c r="F275" t="s">
        <v>279</v>
      </c>
    </row>
    <row r="276" spans="1:6" x14ac:dyDescent="0.25">
      <c r="A276" t="str">
        <f>"11.0199"</f>
        <v>11.0199</v>
      </c>
      <c r="B276" t="s">
        <v>280</v>
      </c>
      <c r="C276" t="s">
        <v>7</v>
      </c>
      <c r="D276" t="s">
        <v>11</v>
      </c>
      <c r="E276" t="str">
        <f>"11.0199"</f>
        <v>11.0199</v>
      </c>
      <c r="F276" t="s">
        <v>280</v>
      </c>
    </row>
    <row r="277" spans="1:6" x14ac:dyDescent="0.25">
      <c r="A277" t="str">
        <f>"11.02"</f>
        <v>11.02</v>
      </c>
      <c r="B277" t="s">
        <v>281</v>
      </c>
      <c r="C277" t="s">
        <v>7</v>
      </c>
      <c r="D277" t="s">
        <v>11</v>
      </c>
      <c r="E277" t="str">
        <f>"11.02"</f>
        <v>11.02</v>
      </c>
      <c r="F277" t="s">
        <v>281</v>
      </c>
    </row>
    <row r="278" spans="1:6" x14ac:dyDescent="0.25">
      <c r="A278" t="str">
        <f>"11.0201"</f>
        <v>11.0201</v>
      </c>
      <c r="B278" t="s">
        <v>282</v>
      </c>
      <c r="C278" t="s">
        <v>7</v>
      </c>
      <c r="D278" t="s">
        <v>11</v>
      </c>
      <c r="E278" t="str">
        <f>"11.0201"</f>
        <v>11.0201</v>
      </c>
      <c r="F278" t="s">
        <v>282</v>
      </c>
    </row>
    <row r="279" spans="1:6" x14ac:dyDescent="0.25">
      <c r="A279" t="str">
        <f>"11.0202"</f>
        <v>11.0202</v>
      </c>
      <c r="B279" t="s">
        <v>283</v>
      </c>
      <c r="C279" t="s">
        <v>7</v>
      </c>
      <c r="D279" t="s">
        <v>11</v>
      </c>
      <c r="E279" t="str">
        <f>"11.0202"</f>
        <v>11.0202</v>
      </c>
      <c r="F279" t="s">
        <v>283</v>
      </c>
    </row>
    <row r="280" spans="1:6" x14ac:dyDescent="0.25">
      <c r="A280" t="str">
        <f>"11.0203"</f>
        <v>11.0203</v>
      </c>
      <c r="B280" t="s">
        <v>284</v>
      </c>
      <c r="C280" t="s">
        <v>7</v>
      </c>
      <c r="D280" t="s">
        <v>11</v>
      </c>
      <c r="E280" t="str">
        <f>"11.0203"</f>
        <v>11.0203</v>
      </c>
      <c r="F280" t="s">
        <v>284</v>
      </c>
    </row>
    <row r="281" spans="1:6" x14ac:dyDescent="0.25">
      <c r="C281" t="s">
        <v>26</v>
      </c>
      <c r="D281" t="s">
        <v>11</v>
      </c>
      <c r="E281" t="str">
        <f>"11.0204"</f>
        <v>11.0204</v>
      </c>
      <c r="F281" t="s">
        <v>285</v>
      </c>
    </row>
    <row r="282" spans="1:6" x14ac:dyDescent="0.25">
      <c r="C282" t="s">
        <v>26</v>
      </c>
      <c r="D282" t="s">
        <v>11</v>
      </c>
      <c r="E282" t="str">
        <f>"11.0205"</f>
        <v>11.0205</v>
      </c>
      <c r="F282" t="s">
        <v>286</v>
      </c>
    </row>
    <row r="283" spans="1:6" x14ac:dyDescent="0.25">
      <c r="A283" t="str">
        <f>"11.0299"</f>
        <v>11.0299</v>
      </c>
      <c r="B283" t="s">
        <v>287</v>
      </c>
      <c r="C283" t="s">
        <v>7</v>
      </c>
      <c r="D283" t="s">
        <v>11</v>
      </c>
      <c r="E283" t="str">
        <f>"11.0299"</f>
        <v>11.0299</v>
      </c>
      <c r="F283" t="s">
        <v>287</v>
      </c>
    </row>
    <row r="284" spans="1:6" x14ac:dyDescent="0.25">
      <c r="A284" t="str">
        <f>"11.03"</f>
        <v>11.03</v>
      </c>
      <c r="B284" t="s">
        <v>288</v>
      </c>
      <c r="C284" t="s">
        <v>7</v>
      </c>
      <c r="D284" t="s">
        <v>11</v>
      </c>
      <c r="E284" t="str">
        <f>"11.03"</f>
        <v>11.03</v>
      </c>
      <c r="F284" t="s">
        <v>288</v>
      </c>
    </row>
    <row r="285" spans="1:6" x14ac:dyDescent="0.25">
      <c r="A285" t="str">
        <f>"11.0301"</f>
        <v>11.0301</v>
      </c>
      <c r="B285" t="s">
        <v>289</v>
      </c>
      <c r="C285" t="s">
        <v>7</v>
      </c>
      <c r="D285" t="s">
        <v>11</v>
      </c>
      <c r="E285" t="str">
        <f>"11.0301"</f>
        <v>11.0301</v>
      </c>
      <c r="F285" t="s">
        <v>289</v>
      </c>
    </row>
    <row r="286" spans="1:6" x14ac:dyDescent="0.25">
      <c r="A286" t="str">
        <f>"11.04"</f>
        <v>11.04</v>
      </c>
      <c r="B286" t="s">
        <v>290</v>
      </c>
      <c r="C286" t="s">
        <v>7</v>
      </c>
      <c r="D286" t="s">
        <v>11</v>
      </c>
      <c r="E286" t="str">
        <f>"11.04"</f>
        <v>11.04</v>
      </c>
      <c r="F286" t="s">
        <v>290</v>
      </c>
    </row>
    <row r="287" spans="1:6" x14ac:dyDescent="0.25">
      <c r="A287" t="str">
        <f>"11.0401"</f>
        <v>11.0401</v>
      </c>
      <c r="B287" t="s">
        <v>290</v>
      </c>
      <c r="C287" t="s">
        <v>7</v>
      </c>
      <c r="D287" t="s">
        <v>11</v>
      </c>
      <c r="E287" t="str">
        <f>"11.0401"</f>
        <v>11.0401</v>
      </c>
      <c r="F287" t="s">
        <v>290</v>
      </c>
    </row>
    <row r="288" spans="1:6" x14ac:dyDescent="0.25">
      <c r="A288" t="str">
        <f>"11.05"</f>
        <v>11.05</v>
      </c>
      <c r="B288" t="s">
        <v>291</v>
      </c>
      <c r="C288" t="s">
        <v>7</v>
      </c>
      <c r="D288" t="s">
        <v>11</v>
      </c>
      <c r="E288" t="str">
        <f>"11.05"</f>
        <v>11.05</v>
      </c>
      <c r="F288" t="s">
        <v>291</v>
      </c>
    </row>
    <row r="289" spans="1:6" x14ac:dyDescent="0.25">
      <c r="A289" t="str">
        <f>"11.0501"</f>
        <v>11.0501</v>
      </c>
      <c r="B289" t="s">
        <v>292</v>
      </c>
      <c r="C289" t="s">
        <v>7</v>
      </c>
      <c r="D289" t="s">
        <v>11</v>
      </c>
      <c r="E289" t="str">
        <f>"11.0501"</f>
        <v>11.0501</v>
      </c>
      <c r="F289" t="s">
        <v>292</v>
      </c>
    </row>
    <row r="290" spans="1:6" x14ac:dyDescent="0.25">
      <c r="A290" t="str">
        <f>"11.06"</f>
        <v>11.06</v>
      </c>
      <c r="B290" t="s">
        <v>293</v>
      </c>
      <c r="C290" t="s">
        <v>7</v>
      </c>
      <c r="D290" t="s">
        <v>11</v>
      </c>
      <c r="E290" t="str">
        <f>"11.06"</f>
        <v>11.06</v>
      </c>
      <c r="F290" t="s">
        <v>293</v>
      </c>
    </row>
    <row r="291" spans="1:6" x14ac:dyDescent="0.25">
      <c r="A291" t="str">
        <f>"11.0601"</f>
        <v>11.0601</v>
      </c>
      <c r="B291" t="s">
        <v>294</v>
      </c>
      <c r="C291" t="s">
        <v>7</v>
      </c>
      <c r="D291" t="s">
        <v>11</v>
      </c>
      <c r="E291" t="str">
        <f>"11.0601"</f>
        <v>11.0601</v>
      </c>
      <c r="F291" t="s">
        <v>294</v>
      </c>
    </row>
    <row r="292" spans="1:6" x14ac:dyDescent="0.25">
      <c r="A292" t="str">
        <f>"11.0602"</f>
        <v>11.0602</v>
      </c>
      <c r="B292" t="s">
        <v>295</v>
      </c>
      <c r="C292" t="s">
        <v>7</v>
      </c>
      <c r="D292" t="s">
        <v>11</v>
      </c>
      <c r="E292" t="str">
        <f>"11.0602"</f>
        <v>11.0602</v>
      </c>
      <c r="F292" t="s">
        <v>295</v>
      </c>
    </row>
    <row r="293" spans="1:6" x14ac:dyDescent="0.25">
      <c r="A293" t="str">
        <f>"11.0699"</f>
        <v>11.0699</v>
      </c>
      <c r="B293" t="s">
        <v>296</v>
      </c>
      <c r="C293" t="s">
        <v>7</v>
      </c>
      <c r="D293" t="s">
        <v>11</v>
      </c>
      <c r="E293" t="str">
        <f>"11.0699"</f>
        <v>11.0699</v>
      </c>
      <c r="F293" t="s">
        <v>296</v>
      </c>
    </row>
    <row r="294" spans="1:6" x14ac:dyDescent="0.25">
      <c r="A294" t="str">
        <f>"11.07"</f>
        <v>11.07</v>
      </c>
      <c r="B294" t="s">
        <v>297</v>
      </c>
      <c r="C294" t="s">
        <v>7</v>
      </c>
      <c r="D294" t="s">
        <v>11</v>
      </c>
      <c r="E294" t="str">
        <f>"11.07"</f>
        <v>11.07</v>
      </c>
      <c r="F294" t="s">
        <v>297</v>
      </c>
    </row>
    <row r="295" spans="1:6" x14ac:dyDescent="0.25">
      <c r="A295" t="str">
        <f>"11.0701"</f>
        <v>11.0701</v>
      </c>
      <c r="B295" t="s">
        <v>297</v>
      </c>
      <c r="C295" t="s">
        <v>7</v>
      </c>
      <c r="D295" t="s">
        <v>11</v>
      </c>
      <c r="E295" t="str">
        <f>"11.0701"</f>
        <v>11.0701</v>
      </c>
      <c r="F295" t="s">
        <v>297</v>
      </c>
    </row>
    <row r="296" spans="1:6" x14ac:dyDescent="0.25">
      <c r="A296" t="str">
        <f>"11.08"</f>
        <v>11.08</v>
      </c>
      <c r="B296" t="s">
        <v>298</v>
      </c>
      <c r="C296" t="s">
        <v>7</v>
      </c>
      <c r="D296" t="s">
        <v>11</v>
      </c>
      <c r="E296" t="str">
        <f>"11.08"</f>
        <v>11.08</v>
      </c>
      <c r="F296" t="s">
        <v>298</v>
      </c>
    </row>
    <row r="297" spans="1:6" x14ac:dyDescent="0.25">
      <c r="A297" t="str">
        <f>"11.0801"</f>
        <v>11.0801</v>
      </c>
      <c r="B297" t="s">
        <v>299</v>
      </c>
      <c r="C297" t="s">
        <v>7</v>
      </c>
      <c r="D297" t="s">
        <v>8</v>
      </c>
      <c r="E297" t="str">
        <f>"11.0801"</f>
        <v>11.0801</v>
      </c>
      <c r="F297" t="s">
        <v>299</v>
      </c>
    </row>
    <row r="298" spans="1:6" x14ac:dyDescent="0.25">
      <c r="A298" t="str">
        <f>"11.0802"</f>
        <v>11.0802</v>
      </c>
      <c r="B298" t="s">
        <v>300</v>
      </c>
      <c r="C298" t="s">
        <v>7</v>
      </c>
      <c r="D298" t="s">
        <v>11</v>
      </c>
      <c r="E298" t="str">
        <f>"11.0802"</f>
        <v>11.0802</v>
      </c>
      <c r="F298" t="s">
        <v>300</v>
      </c>
    </row>
    <row r="299" spans="1:6" x14ac:dyDescent="0.25">
      <c r="A299" t="str">
        <f>"11.0803"</f>
        <v>11.0803</v>
      </c>
      <c r="B299" t="s">
        <v>301</v>
      </c>
      <c r="C299" t="s">
        <v>7</v>
      </c>
      <c r="D299" t="s">
        <v>11</v>
      </c>
      <c r="E299" t="str">
        <f>"11.0803"</f>
        <v>11.0803</v>
      </c>
      <c r="F299" t="s">
        <v>301</v>
      </c>
    </row>
    <row r="300" spans="1:6" x14ac:dyDescent="0.25">
      <c r="A300" t="str">
        <f>"11.0804"</f>
        <v>11.0804</v>
      </c>
      <c r="B300" t="s">
        <v>302</v>
      </c>
      <c r="C300" t="s">
        <v>7</v>
      </c>
      <c r="D300" t="s">
        <v>11</v>
      </c>
      <c r="E300" t="str">
        <f>"11.0804"</f>
        <v>11.0804</v>
      </c>
      <c r="F300" t="s">
        <v>302</v>
      </c>
    </row>
    <row r="301" spans="1:6" x14ac:dyDescent="0.25">
      <c r="A301" t="str">
        <f>"11.0899"</f>
        <v>11.0899</v>
      </c>
      <c r="B301" t="s">
        <v>303</v>
      </c>
      <c r="C301" t="s">
        <v>7</v>
      </c>
      <c r="D301" t="s">
        <v>11</v>
      </c>
      <c r="E301" t="str">
        <f>"11.0899"</f>
        <v>11.0899</v>
      </c>
      <c r="F301" t="s">
        <v>303</v>
      </c>
    </row>
    <row r="302" spans="1:6" x14ac:dyDescent="0.25">
      <c r="A302" t="str">
        <f>"11.09"</f>
        <v>11.09</v>
      </c>
      <c r="B302" t="s">
        <v>304</v>
      </c>
      <c r="C302" t="s">
        <v>7</v>
      </c>
      <c r="D302" t="s">
        <v>11</v>
      </c>
      <c r="E302" t="str">
        <f>"11.09"</f>
        <v>11.09</v>
      </c>
      <c r="F302" t="s">
        <v>304</v>
      </c>
    </row>
    <row r="303" spans="1:6" x14ac:dyDescent="0.25">
      <c r="A303" t="str">
        <f>"11.0901"</f>
        <v>11.0901</v>
      </c>
      <c r="B303" t="s">
        <v>304</v>
      </c>
      <c r="C303" t="s">
        <v>7</v>
      </c>
      <c r="D303" t="s">
        <v>11</v>
      </c>
      <c r="E303" t="str">
        <f>"11.0901"</f>
        <v>11.0901</v>
      </c>
      <c r="F303" t="s">
        <v>304</v>
      </c>
    </row>
    <row r="304" spans="1:6" x14ac:dyDescent="0.25">
      <c r="C304" t="s">
        <v>26</v>
      </c>
      <c r="D304" t="s">
        <v>11</v>
      </c>
      <c r="E304" t="str">
        <f>"11.0902"</f>
        <v>11.0902</v>
      </c>
      <c r="F304" t="s">
        <v>305</v>
      </c>
    </row>
    <row r="305" spans="1:6" x14ac:dyDescent="0.25">
      <c r="C305" t="s">
        <v>26</v>
      </c>
      <c r="D305" t="s">
        <v>11</v>
      </c>
      <c r="E305" t="str">
        <f>"11.0999"</f>
        <v>11.0999</v>
      </c>
      <c r="F305" t="s">
        <v>306</v>
      </c>
    </row>
    <row r="306" spans="1:6" x14ac:dyDescent="0.25">
      <c r="A306" t="str">
        <f>"11.10"</f>
        <v>11.10</v>
      </c>
      <c r="B306" t="s">
        <v>307</v>
      </c>
      <c r="C306" t="s">
        <v>7</v>
      </c>
      <c r="D306" t="s">
        <v>11</v>
      </c>
      <c r="E306" t="str">
        <f>"11.10"</f>
        <v>11.10</v>
      </c>
      <c r="F306" t="s">
        <v>307</v>
      </c>
    </row>
    <row r="307" spans="1:6" x14ac:dyDescent="0.25">
      <c r="A307" t="str">
        <f>"11.1001"</f>
        <v>11.1001</v>
      </c>
      <c r="B307" t="s">
        <v>308</v>
      </c>
      <c r="C307" t="s">
        <v>7</v>
      </c>
      <c r="D307" t="s">
        <v>11</v>
      </c>
      <c r="E307" t="str">
        <f>"11.1001"</f>
        <v>11.1001</v>
      </c>
      <c r="F307" t="s">
        <v>308</v>
      </c>
    </row>
    <row r="308" spans="1:6" x14ac:dyDescent="0.25">
      <c r="A308" t="str">
        <f>"11.1002"</f>
        <v>11.1002</v>
      </c>
      <c r="B308" t="s">
        <v>309</v>
      </c>
      <c r="C308" t="s">
        <v>7</v>
      </c>
      <c r="D308" t="s">
        <v>11</v>
      </c>
      <c r="E308" t="str">
        <f>"11.1002"</f>
        <v>11.1002</v>
      </c>
      <c r="F308" t="s">
        <v>309</v>
      </c>
    </row>
    <row r="309" spans="1:6" x14ac:dyDescent="0.25">
      <c r="A309" t="str">
        <f>"11.1003"</f>
        <v>11.1003</v>
      </c>
      <c r="B309" t="s">
        <v>310</v>
      </c>
      <c r="C309" t="s">
        <v>7</v>
      </c>
      <c r="D309" t="s">
        <v>8</v>
      </c>
      <c r="E309" t="str">
        <f>"11.1003"</f>
        <v>11.1003</v>
      </c>
      <c r="F309" t="s">
        <v>311</v>
      </c>
    </row>
    <row r="310" spans="1:6" x14ac:dyDescent="0.25">
      <c r="A310" t="str">
        <f>"11.1004"</f>
        <v>11.1004</v>
      </c>
      <c r="B310" t="s">
        <v>312</v>
      </c>
      <c r="C310" t="s">
        <v>7</v>
      </c>
      <c r="D310" t="s">
        <v>11</v>
      </c>
      <c r="E310" t="str">
        <f>"11.1004"</f>
        <v>11.1004</v>
      </c>
      <c r="F310" t="s">
        <v>312</v>
      </c>
    </row>
    <row r="311" spans="1:6" x14ac:dyDescent="0.25">
      <c r="A311" t="str">
        <f>"11.1005"</f>
        <v>11.1005</v>
      </c>
      <c r="B311" t="s">
        <v>313</v>
      </c>
      <c r="C311" t="s">
        <v>7</v>
      </c>
      <c r="D311" t="s">
        <v>11</v>
      </c>
      <c r="E311" t="str">
        <f>"11.1005"</f>
        <v>11.1005</v>
      </c>
      <c r="F311" t="s">
        <v>313</v>
      </c>
    </row>
    <row r="312" spans="1:6" x14ac:dyDescent="0.25">
      <c r="A312" t="str">
        <f>"11.1006"</f>
        <v>11.1006</v>
      </c>
      <c r="B312" t="s">
        <v>314</v>
      </c>
      <c r="C312" t="s">
        <v>7</v>
      </c>
      <c r="D312" t="s">
        <v>11</v>
      </c>
      <c r="E312" t="str">
        <f>"11.1006"</f>
        <v>11.1006</v>
      </c>
      <c r="F312" t="s">
        <v>314</v>
      </c>
    </row>
    <row r="313" spans="1:6" x14ac:dyDescent="0.25">
      <c r="A313" t="str">
        <f>"11.1099"</f>
        <v>11.1099</v>
      </c>
      <c r="B313" t="s">
        <v>315</v>
      </c>
      <c r="C313" t="s">
        <v>7</v>
      </c>
      <c r="D313" t="s">
        <v>11</v>
      </c>
      <c r="E313" t="str">
        <f>"11.1099"</f>
        <v>11.1099</v>
      </c>
      <c r="F313" t="s">
        <v>315</v>
      </c>
    </row>
    <row r="314" spans="1:6" x14ac:dyDescent="0.25">
      <c r="A314" t="str">
        <f>"11.99"</f>
        <v>11.99</v>
      </c>
      <c r="B314" t="s">
        <v>316</v>
      </c>
      <c r="C314" t="s">
        <v>7</v>
      </c>
      <c r="D314" t="s">
        <v>11</v>
      </c>
      <c r="E314" t="str">
        <f>"11.99"</f>
        <v>11.99</v>
      </c>
      <c r="F314" t="s">
        <v>316</v>
      </c>
    </row>
    <row r="315" spans="1:6" x14ac:dyDescent="0.25">
      <c r="A315" t="str">
        <f>"11.9999"</f>
        <v>11.9999</v>
      </c>
      <c r="B315" t="s">
        <v>316</v>
      </c>
      <c r="C315" t="s">
        <v>7</v>
      </c>
      <c r="D315" t="s">
        <v>11</v>
      </c>
      <c r="E315" t="str">
        <f>"11.9999"</f>
        <v>11.9999</v>
      </c>
      <c r="F315" t="s">
        <v>316</v>
      </c>
    </row>
    <row r="316" spans="1:6" x14ac:dyDescent="0.25">
      <c r="A316" t="str">
        <f>"12"</f>
        <v>12</v>
      </c>
      <c r="B316" t="s">
        <v>317</v>
      </c>
      <c r="C316" t="s">
        <v>7</v>
      </c>
      <c r="D316" t="s">
        <v>8</v>
      </c>
      <c r="E316" t="str">
        <f>"12"</f>
        <v>12</v>
      </c>
      <c r="F316" t="s">
        <v>318</v>
      </c>
    </row>
    <row r="317" spans="1:6" x14ac:dyDescent="0.25">
      <c r="A317" t="str">
        <f>"12.03"</f>
        <v>12.03</v>
      </c>
      <c r="B317" t="s">
        <v>319</v>
      </c>
      <c r="C317" t="s">
        <v>7</v>
      </c>
      <c r="D317" t="s">
        <v>11</v>
      </c>
      <c r="E317" t="str">
        <f>"12.03"</f>
        <v>12.03</v>
      </c>
      <c r="F317" t="s">
        <v>319</v>
      </c>
    </row>
    <row r="318" spans="1:6" x14ac:dyDescent="0.25">
      <c r="A318" t="str">
        <f>"12.0301"</f>
        <v>12.0301</v>
      </c>
      <c r="B318" t="s">
        <v>320</v>
      </c>
      <c r="C318" t="s">
        <v>7</v>
      </c>
      <c r="D318" t="s">
        <v>11</v>
      </c>
      <c r="E318" t="str">
        <f>"12.0301"</f>
        <v>12.0301</v>
      </c>
      <c r="F318" t="s">
        <v>320</v>
      </c>
    </row>
    <row r="319" spans="1:6" x14ac:dyDescent="0.25">
      <c r="A319" t="str">
        <f>"12.0302"</f>
        <v>12.0302</v>
      </c>
      <c r="B319" t="s">
        <v>321</v>
      </c>
      <c r="C319" t="s">
        <v>7</v>
      </c>
      <c r="D319" t="s">
        <v>11</v>
      </c>
      <c r="E319" t="str">
        <f>"12.0302"</f>
        <v>12.0302</v>
      </c>
      <c r="F319" t="s">
        <v>321</v>
      </c>
    </row>
    <row r="320" spans="1:6" x14ac:dyDescent="0.25">
      <c r="A320" t="str">
        <f>"12.0303"</f>
        <v>12.0303</v>
      </c>
      <c r="B320" t="s">
        <v>322</v>
      </c>
      <c r="C320" t="s">
        <v>7</v>
      </c>
      <c r="D320" t="s">
        <v>11</v>
      </c>
      <c r="E320" t="str">
        <f>"12.0303"</f>
        <v>12.0303</v>
      </c>
      <c r="F320" t="s">
        <v>322</v>
      </c>
    </row>
    <row r="321" spans="1:6" x14ac:dyDescent="0.25">
      <c r="A321" t="str">
        <f>"12.0399"</f>
        <v>12.0399</v>
      </c>
      <c r="B321" t="s">
        <v>323</v>
      </c>
      <c r="C321" t="s">
        <v>7</v>
      </c>
      <c r="D321" t="s">
        <v>11</v>
      </c>
      <c r="E321" t="str">
        <f>"12.0399"</f>
        <v>12.0399</v>
      </c>
      <c r="F321" t="s">
        <v>323</v>
      </c>
    </row>
    <row r="322" spans="1:6" x14ac:dyDescent="0.25">
      <c r="A322" t="str">
        <f>"12.04"</f>
        <v>12.04</v>
      </c>
      <c r="B322" t="s">
        <v>324</v>
      </c>
      <c r="C322" t="s">
        <v>7</v>
      </c>
      <c r="D322" t="s">
        <v>11</v>
      </c>
      <c r="E322" t="str">
        <f>"12.04"</f>
        <v>12.04</v>
      </c>
      <c r="F322" t="s">
        <v>324</v>
      </c>
    </row>
    <row r="323" spans="1:6" x14ac:dyDescent="0.25">
      <c r="A323" t="str">
        <f>"12.0401"</f>
        <v>12.0401</v>
      </c>
      <c r="B323" t="s">
        <v>325</v>
      </c>
      <c r="C323" t="s">
        <v>7</v>
      </c>
      <c r="D323" t="s">
        <v>11</v>
      </c>
      <c r="E323" t="str">
        <f>"12.0401"</f>
        <v>12.0401</v>
      </c>
      <c r="F323" t="s">
        <v>325</v>
      </c>
    </row>
    <row r="324" spans="1:6" x14ac:dyDescent="0.25">
      <c r="A324" t="str">
        <f>"12.0402"</f>
        <v>12.0402</v>
      </c>
      <c r="B324" t="s">
        <v>326</v>
      </c>
      <c r="C324" t="s">
        <v>7</v>
      </c>
      <c r="D324" t="s">
        <v>11</v>
      </c>
      <c r="E324" t="str">
        <f>"12.0402"</f>
        <v>12.0402</v>
      </c>
      <c r="F324" t="s">
        <v>326</v>
      </c>
    </row>
    <row r="325" spans="1:6" x14ac:dyDescent="0.25">
      <c r="A325" t="str">
        <f>"12.0404"</f>
        <v>12.0404</v>
      </c>
      <c r="B325" t="s">
        <v>327</v>
      </c>
      <c r="C325" t="s">
        <v>7</v>
      </c>
      <c r="D325" t="s">
        <v>11</v>
      </c>
      <c r="E325" t="str">
        <f>"12.0404"</f>
        <v>12.0404</v>
      </c>
      <c r="F325" t="s">
        <v>327</v>
      </c>
    </row>
    <row r="326" spans="1:6" x14ac:dyDescent="0.25">
      <c r="A326" t="str">
        <f>"12.0406"</f>
        <v>12.0406</v>
      </c>
      <c r="B326" t="s">
        <v>328</v>
      </c>
      <c r="C326" t="s">
        <v>7</v>
      </c>
      <c r="D326" t="s">
        <v>11</v>
      </c>
      <c r="E326" t="str">
        <f>"12.0406"</f>
        <v>12.0406</v>
      </c>
      <c r="F326" t="s">
        <v>328</v>
      </c>
    </row>
    <row r="327" spans="1:6" x14ac:dyDescent="0.25">
      <c r="A327" t="str">
        <f>"12.0407"</f>
        <v>12.0407</v>
      </c>
      <c r="B327" t="s">
        <v>329</v>
      </c>
      <c r="C327" t="s">
        <v>7</v>
      </c>
      <c r="D327" t="s">
        <v>11</v>
      </c>
      <c r="E327" t="str">
        <f>"12.0407"</f>
        <v>12.0407</v>
      </c>
      <c r="F327" t="s">
        <v>329</v>
      </c>
    </row>
    <row r="328" spans="1:6" x14ac:dyDescent="0.25">
      <c r="A328" t="str">
        <f>"12.0408"</f>
        <v>12.0408</v>
      </c>
      <c r="B328" t="s">
        <v>330</v>
      </c>
      <c r="C328" t="s">
        <v>7</v>
      </c>
      <c r="D328" t="s">
        <v>11</v>
      </c>
      <c r="E328" t="str">
        <f>"12.0408"</f>
        <v>12.0408</v>
      </c>
      <c r="F328" t="s">
        <v>330</v>
      </c>
    </row>
    <row r="329" spans="1:6" x14ac:dyDescent="0.25">
      <c r="A329" t="str">
        <f>"12.0409"</f>
        <v>12.0409</v>
      </c>
      <c r="B329" t="s">
        <v>331</v>
      </c>
      <c r="C329" t="s">
        <v>7</v>
      </c>
      <c r="D329" t="s">
        <v>11</v>
      </c>
      <c r="E329" t="str">
        <f>"12.0409"</f>
        <v>12.0409</v>
      </c>
      <c r="F329" t="s">
        <v>331</v>
      </c>
    </row>
    <row r="330" spans="1:6" x14ac:dyDescent="0.25">
      <c r="A330" t="str">
        <f>"12.0410"</f>
        <v>12.0410</v>
      </c>
      <c r="B330" t="s">
        <v>332</v>
      </c>
      <c r="C330" t="s">
        <v>7</v>
      </c>
      <c r="D330" t="s">
        <v>11</v>
      </c>
      <c r="E330" t="str">
        <f>"12.0410"</f>
        <v>12.0410</v>
      </c>
      <c r="F330" t="s">
        <v>332</v>
      </c>
    </row>
    <row r="331" spans="1:6" x14ac:dyDescent="0.25">
      <c r="A331" t="str">
        <f>"12.0411"</f>
        <v>12.0411</v>
      </c>
      <c r="B331" t="s">
        <v>333</v>
      </c>
      <c r="C331" t="s">
        <v>7</v>
      </c>
      <c r="D331" t="s">
        <v>11</v>
      </c>
      <c r="E331" t="str">
        <f>"12.0411"</f>
        <v>12.0411</v>
      </c>
      <c r="F331" t="s">
        <v>333</v>
      </c>
    </row>
    <row r="332" spans="1:6" x14ac:dyDescent="0.25">
      <c r="A332" t="str">
        <f>"12.0412"</f>
        <v>12.0412</v>
      </c>
      <c r="B332" t="s">
        <v>334</v>
      </c>
      <c r="C332" t="s">
        <v>7</v>
      </c>
      <c r="D332" t="s">
        <v>11</v>
      </c>
      <c r="E332" t="str">
        <f>"12.0412"</f>
        <v>12.0412</v>
      </c>
      <c r="F332" t="s">
        <v>334</v>
      </c>
    </row>
    <row r="333" spans="1:6" x14ac:dyDescent="0.25">
      <c r="A333" t="str">
        <f>"12.0413"</f>
        <v>12.0413</v>
      </c>
      <c r="B333" t="s">
        <v>335</v>
      </c>
      <c r="C333" t="s">
        <v>7</v>
      </c>
      <c r="D333" t="s">
        <v>11</v>
      </c>
      <c r="E333" t="str">
        <f>"12.0413"</f>
        <v>12.0413</v>
      </c>
      <c r="F333" t="s">
        <v>335</v>
      </c>
    </row>
    <row r="334" spans="1:6" x14ac:dyDescent="0.25">
      <c r="A334" t="str">
        <f>"12.0414"</f>
        <v>12.0414</v>
      </c>
      <c r="B334" t="s">
        <v>336</v>
      </c>
      <c r="C334" t="s">
        <v>7</v>
      </c>
      <c r="D334" t="s">
        <v>11</v>
      </c>
      <c r="E334" t="str">
        <f>"12.0414"</f>
        <v>12.0414</v>
      </c>
      <c r="F334" t="s">
        <v>336</v>
      </c>
    </row>
    <row r="335" spans="1:6" x14ac:dyDescent="0.25">
      <c r="A335" t="str">
        <f>"12.0499"</f>
        <v>12.0499</v>
      </c>
      <c r="B335" t="s">
        <v>337</v>
      </c>
      <c r="C335" t="s">
        <v>7</v>
      </c>
      <c r="D335" t="s">
        <v>11</v>
      </c>
      <c r="E335" t="str">
        <f>"12.0499"</f>
        <v>12.0499</v>
      </c>
      <c r="F335" t="s">
        <v>337</v>
      </c>
    </row>
    <row r="336" spans="1:6" x14ac:dyDescent="0.25">
      <c r="A336" t="str">
        <f>"12.05"</f>
        <v>12.05</v>
      </c>
      <c r="B336" t="s">
        <v>338</v>
      </c>
      <c r="C336" t="s">
        <v>7</v>
      </c>
      <c r="D336" t="s">
        <v>11</v>
      </c>
      <c r="E336" t="str">
        <f>"12.05"</f>
        <v>12.05</v>
      </c>
      <c r="F336" t="s">
        <v>338</v>
      </c>
    </row>
    <row r="337" spans="1:6" x14ac:dyDescent="0.25">
      <c r="A337" t="str">
        <f>"12.0500"</f>
        <v>12.0500</v>
      </c>
      <c r="B337" t="s">
        <v>339</v>
      </c>
      <c r="C337" t="s">
        <v>7</v>
      </c>
      <c r="D337" t="s">
        <v>11</v>
      </c>
      <c r="E337" t="str">
        <f>"12.0500"</f>
        <v>12.0500</v>
      </c>
      <c r="F337" t="s">
        <v>339</v>
      </c>
    </row>
    <row r="338" spans="1:6" x14ac:dyDescent="0.25">
      <c r="A338" t="str">
        <f>"12.0501"</f>
        <v>12.0501</v>
      </c>
      <c r="B338" t="s">
        <v>340</v>
      </c>
      <c r="C338" t="s">
        <v>7</v>
      </c>
      <c r="D338" t="s">
        <v>11</v>
      </c>
      <c r="E338" t="str">
        <f>"12.0501"</f>
        <v>12.0501</v>
      </c>
      <c r="F338" t="s">
        <v>340</v>
      </c>
    </row>
    <row r="339" spans="1:6" x14ac:dyDescent="0.25">
      <c r="A339" t="str">
        <f>"12.0502"</f>
        <v>12.0502</v>
      </c>
      <c r="B339" t="s">
        <v>341</v>
      </c>
      <c r="C339" t="s">
        <v>7</v>
      </c>
      <c r="D339" t="s">
        <v>11</v>
      </c>
      <c r="E339" t="str">
        <f>"12.0502"</f>
        <v>12.0502</v>
      </c>
      <c r="F339" t="s">
        <v>341</v>
      </c>
    </row>
    <row r="340" spans="1:6" x14ac:dyDescent="0.25">
      <c r="A340" t="str">
        <f>"12.0503"</f>
        <v>12.0503</v>
      </c>
      <c r="B340" t="s">
        <v>342</v>
      </c>
      <c r="C340" t="s">
        <v>7</v>
      </c>
      <c r="D340" t="s">
        <v>11</v>
      </c>
      <c r="E340" t="str">
        <f>"12.0503"</f>
        <v>12.0503</v>
      </c>
      <c r="F340" t="s">
        <v>342</v>
      </c>
    </row>
    <row r="341" spans="1:6" x14ac:dyDescent="0.25">
      <c r="A341" t="str">
        <f>"12.0504"</f>
        <v>12.0504</v>
      </c>
      <c r="B341" t="s">
        <v>343</v>
      </c>
      <c r="C341" t="s">
        <v>7</v>
      </c>
      <c r="D341" t="s">
        <v>11</v>
      </c>
      <c r="E341" t="str">
        <f>"12.0504"</f>
        <v>12.0504</v>
      </c>
      <c r="F341" t="s">
        <v>343</v>
      </c>
    </row>
    <row r="342" spans="1:6" x14ac:dyDescent="0.25">
      <c r="A342" t="str">
        <f>"12.0505"</f>
        <v>12.0505</v>
      </c>
      <c r="B342" t="s">
        <v>344</v>
      </c>
      <c r="C342" t="s">
        <v>7</v>
      </c>
      <c r="D342" t="s">
        <v>11</v>
      </c>
      <c r="E342" t="str">
        <f>"12.0505"</f>
        <v>12.0505</v>
      </c>
      <c r="F342" t="s">
        <v>344</v>
      </c>
    </row>
    <row r="343" spans="1:6" x14ac:dyDescent="0.25">
      <c r="A343" t="str">
        <f>"12.0506"</f>
        <v>12.0506</v>
      </c>
      <c r="B343" t="s">
        <v>345</v>
      </c>
      <c r="C343" t="s">
        <v>7</v>
      </c>
      <c r="D343" t="s">
        <v>11</v>
      </c>
      <c r="E343" t="str">
        <f>"12.0506"</f>
        <v>12.0506</v>
      </c>
      <c r="F343" t="s">
        <v>345</v>
      </c>
    </row>
    <row r="344" spans="1:6" x14ac:dyDescent="0.25">
      <c r="A344" t="str">
        <f>"12.0507"</f>
        <v>12.0507</v>
      </c>
      <c r="B344" t="s">
        <v>346</v>
      </c>
      <c r="C344" t="s">
        <v>7</v>
      </c>
      <c r="D344" t="s">
        <v>11</v>
      </c>
      <c r="E344" t="str">
        <f>"12.0507"</f>
        <v>12.0507</v>
      </c>
      <c r="F344" t="s">
        <v>346</v>
      </c>
    </row>
    <row r="345" spans="1:6" x14ac:dyDescent="0.25">
      <c r="A345" t="str">
        <f>"12.0508"</f>
        <v>12.0508</v>
      </c>
      <c r="B345" t="s">
        <v>347</v>
      </c>
      <c r="C345" t="s">
        <v>7</v>
      </c>
      <c r="D345" t="s">
        <v>11</v>
      </c>
      <c r="E345" t="str">
        <f>"12.0508"</f>
        <v>12.0508</v>
      </c>
      <c r="F345" t="s">
        <v>347</v>
      </c>
    </row>
    <row r="346" spans="1:6" x14ac:dyDescent="0.25">
      <c r="A346" t="str">
        <f>"12.0509"</f>
        <v>12.0509</v>
      </c>
      <c r="B346" t="s">
        <v>348</v>
      </c>
      <c r="C346" t="s">
        <v>7</v>
      </c>
      <c r="D346" t="s">
        <v>11</v>
      </c>
      <c r="E346" t="str">
        <f>"12.0509"</f>
        <v>12.0509</v>
      </c>
      <c r="F346" t="s">
        <v>348</v>
      </c>
    </row>
    <row r="347" spans="1:6" x14ac:dyDescent="0.25">
      <c r="A347" t="str">
        <f>"12.0510"</f>
        <v>12.0510</v>
      </c>
      <c r="B347" t="s">
        <v>349</v>
      </c>
      <c r="C347" t="s">
        <v>7</v>
      </c>
      <c r="D347" t="s">
        <v>11</v>
      </c>
      <c r="E347" t="str">
        <f>"12.0510"</f>
        <v>12.0510</v>
      </c>
      <c r="F347" t="s">
        <v>349</v>
      </c>
    </row>
    <row r="348" spans="1:6" x14ac:dyDescent="0.25">
      <c r="C348" t="s">
        <v>26</v>
      </c>
      <c r="D348" t="s">
        <v>11</v>
      </c>
      <c r="E348" t="str">
        <f>"12.0580"</f>
        <v>12.0580</v>
      </c>
      <c r="F348" t="s">
        <v>42</v>
      </c>
    </row>
    <row r="349" spans="1:6" x14ac:dyDescent="0.25">
      <c r="A349" t="str">
        <f>"12.0599"</f>
        <v>12.0599</v>
      </c>
      <c r="B349" t="s">
        <v>350</v>
      </c>
      <c r="C349" t="s">
        <v>7</v>
      </c>
      <c r="D349" t="s">
        <v>11</v>
      </c>
      <c r="E349" t="str">
        <f>"12.0599"</f>
        <v>12.0599</v>
      </c>
      <c r="F349" t="s">
        <v>350</v>
      </c>
    </row>
    <row r="350" spans="1:6" x14ac:dyDescent="0.25">
      <c r="C350" t="s">
        <v>26</v>
      </c>
      <c r="D350" t="s">
        <v>11</v>
      </c>
      <c r="E350" t="str">
        <f>"12.06"</f>
        <v>12.06</v>
      </c>
      <c r="F350" t="s">
        <v>351</v>
      </c>
    </row>
    <row r="351" spans="1:6" x14ac:dyDescent="0.25">
      <c r="C351" t="s">
        <v>26</v>
      </c>
      <c r="D351" t="s">
        <v>11</v>
      </c>
      <c r="E351" t="str">
        <f>"12.0601"</f>
        <v>12.0601</v>
      </c>
      <c r="F351" t="s">
        <v>352</v>
      </c>
    </row>
    <row r="352" spans="1:6" x14ac:dyDescent="0.25">
      <c r="C352" t="s">
        <v>26</v>
      </c>
      <c r="D352" t="s">
        <v>11</v>
      </c>
      <c r="E352" t="str">
        <f>"12.0602"</f>
        <v>12.0602</v>
      </c>
      <c r="F352" t="s">
        <v>353</v>
      </c>
    </row>
    <row r="353" spans="1:6" x14ac:dyDescent="0.25">
      <c r="C353" t="s">
        <v>26</v>
      </c>
      <c r="D353" t="s">
        <v>11</v>
      </c>
      <c r="E353" t="str">
        <f>"12.0699"</f>
        <v>12.0699</v>
      </c>
      <c r="F353" t="s">
        <v>354</v>
      </c>
    </row>
    <row r="354" spans="1:6" x14ac:dyDescent="0.25">
      <c r="A354" t="str">
        <f>"12.99"</f>
        <v>12.99</v>
      </c>
      <c r="B354" t="s">
        <v>355</v>
      </c>
      <c r="C354" t="s">
        <v>7</v>
      </c>
      <c r="D354" t="s">
        <v>8</v>
      </c>
      <c r="E354" t="str">
        <f>"12.99"</f>
        <v>12.99</v>
      </c>
      <c r="F354" t="s">
        <v>356</v>
      </c>
    </row>
    <row r="355" spans="1:6" x14ac:dyDescent="0.25">
      <c r="A355" t="str">
        <f>"12.9999"</f>
        <v>12.9999</v>
      </c>
      <c r="B355" t="s">
        <v>355</v>
      </c>
      <c r="C355" t="s">
        <v>7</v>
      </c>
      <c r="D355" t="s">
        <v>8</v>
      </c>
      <c r="E355" t="str">
        <f>"12.9999"</f>
        <v>12.9999</v>
      </c>
      <c r="F355" t="s">
        <v>356</v>
      </c>
    </row>
    <row r="356" spans="1:6" x14ac:dyDescent="0.25">
      <c r="A356" t="str">
        <f>"13"</f>
        <v>13</v>
      </c>
      <c r="B356" t="s">
        <v>357</v>
      </c>
      <c r="C356" t="s">
        <v>7</v>
      </c>
      <c r="D356" t="s">
        <v>11</v>
      </c>
      <c r="E356" t="str">
        <f>"13"</f>
        <v>13</v>
      </c>
      <c r="F356" t="s">
        <v>357</v>
      </c>
    </row>
    <row r="357" spans="1:6" x14ac:dyDescent="0.25">
      <c r="A357" t="str">
        <f>"13.01"</f>
        <v>13.01</v>
      </c>
      <c r="B357" t="s">
        <v>358</v>
      </c>
      <c r="C357" t="s">
        <v>7</v>
      </c>
      <c r="D357" t="s">
        <v>11</v>
      </c>
      <c r="E357" t="str">
        <f>"13.01"</f>
        <v>13.01</v>
      </c>
      <c r="F357" t="s">
        <v>358</v>
      </c>
    </row>
    <row r="358" spans="1:6" x14ac:dyDescent="0.25">
      <c r="A358" t="str">
        <f>"13.0101"</f>
        <v>13.0101</v>
      </c>
      <c r="B358" t="s">
        <v>358</v>
      </c>
      <c r="C358" t="s">
        <v>7</v>
      </c>
      <c r="D358" t="s">
        <v>11</v>
      </c>
      <c r="E358" t="str">
        <f>"13.0101"</f>
        <v>13.0101</v>
      </c>
      <c r="F358" t="s">
        <v>358</v>
      </c>
    </row>
    <row r="359" spans="1:6" x14ac:dyDescent="0.25">
      <c r="A359" t="str">
        <f>"13.02"</f>
        <v>13.02</v>
      </c>
      <c r="B359" t="s">
        <v>359</v>
      </c>
      <c r="C359" t="s">
        <v>7</v>
      </c>
      <c r="D359" t="s">
        <v>11</v>
      </c>
      <c r="E359" t="str">
        <f>"13.02"</f>
        <v>13.02</v>
      </c>
      <c r="F359" t="s">
        <v>359</v>
      </c>
    </row>
    <row r="360" spans="1:6" x14ac:dyDescent="0.25">
      <c r="A360" t="str">
        <f>"13.0201"</f>
        <v>13.0201</v>
      </c>
      <c r="B360" t="s">
        <v>360</v>
      </c>
      <c r="C360" t="s">
        <v>7</v>
      </c>
      <c r="D360" t="s">
        <v>11</v>
      </c>
      <c r="E360" t="str">
        <f>"13.0201"</f>
        <v>13.0201</v>
      </c>
      <c r="F360" t="s">
        <v>360</v>
      </c>
    </row>
    <row r="361" spans="1:6" x14ac:dyDescent="0.25">
      <c r="A361" t="str">
        <f>"13.0202"</f>
        <v>13.0202</v>
      </c>
      <c r="B361" t="s">
        <v>361</v>
      </c>
      <c r="C361" t="s">
        <v>7</v>
      </c>
      <c r="D361" t="s">
        <v>11</v>
      </c>
      <c r="E361" t="str">
        <f>"13.0202"</f>
        <v>13.0202</v>
      </c>
      <c r="F361" t="s">
        <v>361</v>
      </c>
    </row>
    <row r="362" spans="1:6" x14ac:dyDescent="0.25">
      <c r="A362" t="str">
        <f>"13.0203"</f>
        <v>13.0203</v>
      </c>
      <c r="B362" t="s">
        <v>362</v>
      </c>
      <c r="C362" t="s">
        <v>7</v>
      </c>
      <c r="D362" t="s">
        <v>11</v>
      </c>
      <c r="E362" t="str">
        <f>"13.0203"</f>
        <v>13.0203</v>
      </c>
      <c r="F362" t="s">
        <v>362</v>
      </c>
    </row>
    <row r="363" spans="1:6" x14ac:dyDescent="0.25">
      <c r="A363" t="str">
        <f>"13.0299"</f>
        <v>13.0299</v>
      </c>
      <c r="B363" t="s">
        <v>363</v>
      </c>
      <c r="C363" t="s">
        <v>7</v>
      </c>
      <c r="D363" t="s">
        <v>11</v>
      </c>
      <c r="E363" t="str">
        <f>"13.0299"</f>
        <v>13.0299</v>
      </c>
      <c r="F363" t="s">
        <v>363</v>
      </c>
    </row>
    <row r="364" spans="1:6" x14ac:dyDescent="0.25">
      <c r="A364" t="str">
        <f>"13.03"</f>
        <v>13.03</v>
      </c>
      <c r="B364" t="s">
        <v>364</v>
      </c>
      <c r="C364" t="s">
        <v>7</v>
      </c>
      <c r="D364" t="s">
        <v>11</v>
      </c>
      <c r="E364" t="str">
        <f>"13.03"</f>
        <v>13.03</v>
      </c>
      <c r="F364" t="s">
        <v>364</v>
      </c>
    </row>
    <row r="365" spans="1:6" x14ac:dyDescent="0.25">
      <c r="A365" t="str">
        <f>"13.0301"</f>
        <v>13.0301</v>
      </c>
      <c r="B365" t="s">
        <v>364</v>
      </c>
      <c r="C365" t="s">
        <v>7</v>
      </c>
      <c r="D365" t="s">
        <v>11</v>
      </c>
      <c r="E365" t="str">
        <f>"13.0301"</f>
        <v>13.0301</v>
      </c>
      <c r="F365" t="s">
        <v>364</v>
      </c>
    </row>
    <row r="366" spans="1:6" x14ac:dyDescent="0.25">
      <c r="A366" t="str">
        <f>"13.04"</f>
        <v>13.04</v>
      </c>
      <c r="B366" t="s">
        <v>365</v>
      </c>
      <c r="C366" t="s">
        <v>7</v>
      </c>
      <c r="D366" t="s">
        <v>11</v>
      </c>
      <c r="E366" t="str">
        <f>"13.04"</f>
        <v>13.04</v>
      </c>
      <c r="F366" t="s">
        <v>365</v>
      </c>
    </row>
    <row r="367" spans="1:6" x14ac:dyDescent="0.25">
      <c r="A367" t="str">
        <f>"13.0401"</f>
        <v>13.0401</v>
      </c>
      <c r="B367" t="s">
        <v>366</v>
      </c>
      <c r="C367" t="s">
        <v>7</v>
      </c>
      <c r="D367" t="s">
        <v>11</v>
      </c>
      <c r="E367" t="str">
        <f>"13.0401"</f>
        <v>13.0401</v>
      </c>
      <c r="F367" t="s">
        <v>366</v>
      </c>
    </row>
    <row r="368" spans="1:6" x14ac:dyDescent="0.25">
      <c r="A368" t="str">
        <f>"13.0402"</f>
        <v>13.0402</v>
      </c>
      <c r="B368" t="s">
        <v>367</v>
      </c>
      <c r="C368" t="s">
        <v>7</v>
      </c>
      <c r="D368" t="s">
        <v>11</v>
      </c>
      <c r="E368" t="str">
        <f>"13.0402"</f>
        <v>13.0402</v>
      </c>
      <c r="F368" t="s">
        <v>367</v>
      </c>
    </row>
    <row r="369" spans="1:6" x14ac:dyDescent="0.25">
      <c r="A369" t="str">
        <f>"13.0403"</f>
        <v>13.0403</v>
      </c>
      <c r="B369" t="s">
        <v>368</v>
      </c>
      <c r="C369" t="s">
        <v>7</v>
      </c>
      <c r="D369" t="s">
        <v>11</v>
      </c>
      <c r="E369" t="str">
        <f>"13.0403"</f>
        <v>13.0403</v>
      </c>
      <c r="F369" t="s">
        <v>368</v>
      </c>
    </row>
    <row r="370" spans="1:6" x14ac:dyDescent="0.25">
      <c r="A370" t="str">
        <f>"13.0404"</f>
        <v>13.0404</v>
      </c>
      <c r="B370" t="s">
        <v>369</v>
      </c>
      <c r="C370" t="s">
        <v>7</v>
      </c>
      <c r="D370" t="s">
        <v>11</v>
      </c>
      <c r="E370" t="str">
        <f>"13.0404"</f>
        <v>13.0404</v>
      </c>
      <c r="F370" t="s">
        <v>369</v>
      </c>
    </row>
    <row r="371" spans="1:6" x14ac:dyDescent="0.25">
      <c r="A371" t="str">
        <f>"13.0406"</f>
        <v>13.0406</v>
      </c>
      <c r="B371" t="s">
        <v>370</v>
      </c>
      <c r="C371" t="s">
        <v>7</v>
      </c>
      <c r="D371" t="s">
        <v>11</v>
      </c>
      <c r="E371" t="str">
        <f>"13.0406"</f>
        <v>13.0406</v>
      </c>
      <c r="F371" t="s">
        <v>370</v>
      </c>
    </row>
    <row r="372" spans="1:6" x14ac:dyDescent="0.25">
      <c r="A372" t="str">
        <f>"13.0407"</f>
        <v>13.0407</v>
      </c>
      <c r="B372" t="s">
        <v>371</v>
      </c>
      <c r="C372" t="s">
        <v>7</v>
      </c>
      <c r="D372" t="s">
        <v>8</v>
      </c>
      <c r="E372" t="str">
        <f>"13.0407"</f>
        <v>13.0407</v>
      </c>
      <c r="F372" t="s">
        <v>372</v>
      </c>
    </row>
    <row r="373" spans="1:6" x14ac:dyDescent="0.25">
      <c r="A373" t="str">
        <f>"13.0408"</f>
        <v>13.0408</v>
      </c>
      <c r="B373" t="s">
        <v>373</v>
      </c>
      <c r="C373" t="s">
        <v>7</v>
      </c>
      <c r="D373" t="s">
        <v>11</v>
      </c>
      <c r="E373" t="str">
        <f>"13.0408"</f>
        <v>13.0408</v>
      </c>
      <c r="F373" t="s">
        <v>373</v>
      </c>
    </row>
    <row r="374" spans="1:6" x14ac:dyDescent="0.25">
      <c r="A374" t="str">
        <f>"13.0409"</f>
        <v>13.0409</v>
      </c>
      <c r="B374" t="s">
        <v>374</v>
      </c>
      <c r="C374" t="s">
        <v>7</v>
      </c>
      <c r="D374" t="s">
        <v>11</v>
      </c>
      <c r="E374" t="str">
        <f>"13.0409"</f>
        <v>13.0409</v>
      </c>
      <c r="F374" t="s">
        <v>374</v>
      </c>
    </row>
    <row r="375" spans="1:6" x14ac:dyDescent="0.25">
      <c r="A375" t="str">
        <f>"13.0410"</f>
        <v>13.0410</v>
      </c>
      <c r="B375" t="s">
        <v>375</v>
      </c>
      <c r="C375" t="s">
        <v>7</v>
      </c>
      <c r="D375" t="s">
        <v>11</v>
      </c>
      <c r="E375" t="str">
        <f>"13.0410"</f>
        <v>13.0410</v>
      </c>
      <c r="F375" t="s">
        <v>375</v>
      </c>
    </row>
    <row r="376" spans="1:6" x14ac:dyDescent="0.25">
      <c r="A376" t="str">
        <f>"13.0411"</f>
        <v>13.0411</v>
      </c>
      <c r="B376" t="s">
        <v>376</v>
      </c>
      <c r="C376" t="s">
        <v>7</v>
      </c>
      <c r="D376" t="s">
        <v>11</v>
      </c>
      <c r="E376" t="str">
        <f>"13.0411"</f>
        <v>13.0411</v>
      </c>
      <c r="F376" t="s">
        <v>376</v>
      </c>
    </row>
    <row r="377" spans="1:6" x14ac:dyDescent="0.25">
      <c r="C377" t="s">
        <v>26</v>
      </c>
      <c r="D377" t="s">
        <v>11</v>
      </c>
      <c r="E377" t="str">
        <f>"13.0412"</f>
        <v>13.0412</v>
      </c>
      <c r="F377" t="s">
        <v>377</v>
      </c>
    </row>
    <row r="378" spans="1:6" x14ac:dyDescent="0.25">
      <c r="C378" t="s">
        <v>26</v>
      </c>
      <c r="D378" t="s">
        <v>11</v>
      </c>
      <c r="E378" t="str">
        <f>"13.0413"</f>
        <v>13.0413</v>
      </c>
      <c r="F378" t="s">
        <v>378</v>
      </c>
    </row>
    <row r="379" spans="1:6" x14ac:dyDescent="0.25">
      <c r="C379" t="s">
        <v>26</v>
      </c>
      <c r="D379" t="s">
        <v>11</v>
      </c>
      <c r="E379" t="str">
        <f>"13.0414"</f>
        <v>13.0414</v>
      </c>
      <c r="F379" t="s">
        <v>379</v>
      </c>
    </row>
    <row r="380" spans="1:6" x14ac:dyDescent="0.25">
      <c r="A380" t="str">
        <f>"13.0499"</f>
        <v>13.0499</v>
      </c>
      <c r="B380" t="s">
        <v>380</v>
      </c>
      <c r="C380" t="s">
        <v>7</v>
      </c>
      <c r="D380" t="s">
        <v>11</v>
      </c>
      <c r="E380" t="str">
        <f>"13.0499"</f>
        <v>13.0499</v>
      </c>
      <c r="F380" t="s">
        <v>380</v>
      </c>
    </row>
    <row r="381" spans="1:6" x14ac:dyDescent="0.25">
      <c r="A381" t="str">
        <f>"13.05"</f>
        <v>13.05</v>
      </c>
      <c r="B381" t="s">
        <v>381</v>
      </c>
      <c r="C381" t="s">
        <v>7</v>
      </c>
      <c r="D381" t="s">
        <v>11</v>
      </c>
      <c r="E381" t="str">
        <f>"13.05"</f>
        <v>13.05</v>
      </c>
      <c r="F381" t="s">
        <v>381</v>
      </c>
    </row>
    <row r="382" spans="1:6" x14ac:dyDescent="0.25">
      <c r="A382" t="str">
        <f>"13.0501"</f>
        <v>13.0501</v>
      </c>
      <c r="B382" t="s">
        <v>382</v>
      </c>
      <c r="C382" t="s">
        <v>7</v>
      </c>
      <c r="D382" t="s">
        <v>11</v>
      </c>
      <c r="E382" t="str">
        <f>"13.0501"</f>
        <v>13.0501</v>
      </c>
      <c r="F382" t="s">
        <v>382</v>
      </c>
    </row>
    <row r="383" spans="1:6" x14ac:dyDescent="0.25">
      <c r="A383" t="str">
        <f>"13.06"</f>
        <v>13.06</v>
      </c>
      <c r="B383" t="s">
        <v>383</v>
      </c>
      <c r="C383" t="s">
        <v>7</v>
      </c>
      <c r="D383" t="s">
        <v>11</v>
      </c>
      <c r="E383" t="str">
        <f>"13.06"</f>
        <v>13.06</v>
      </c>
      <c r="F383" t="s">
        <v>383</v>
      </c>
    </row>
    <row r="384" spans="1:6" x14ac:dyDescent="0.25">
      <c r="A384" t="str">
        <f>"13.0601"</f>
        <v>13.0601</v>
      </c>
      <c r="B384" t="s">
        <v>384</v>
      </c>
      <c r="C384" t="s">
        <v>7</v>
      </c>
      <c r="D384" t="s">
        <v>11</v>
      </c>
      <c r="E384" t="str">
        <f>"13.0601"</f>
        <v>13.0601</v>
      </c>
      <c r="F384" t="s">
        <v>384</v>
      </c>
    </row>
    <row r="385" spans="1:6" x14ac:dyDescent="0.25">
      <c r="A385" t="str">
        <f>"13.0603"</f>
        <v>13.0603</v>
      </c>
      <c r="B385" t="s">
        <v>385</v>
      </c>
      <c r="C385" t="s">
        <v>7</v>
      </c>
      <c r="D385" t="s">
        <v>11</v>
      </c>
      <c r="E385" t="str">
        <f>"13.0603"</f>
        <v>13.0603</v>
      </c>
      <c r="F385" t="s">
        <v>385</v>
      </c>
    </row>
    <row r="386" spans="1:6" x14ac:dyDescent="0.25">
      <c r="A386" t="str">
        <f>"13.0604"</f>
        <v>13.0604</v>
      </c>
      <c r="B386" t="s">
        <v>386</v>
      </c>
      <c r="C386" t="s">
        <v>7</v>
      </c>
      <c r="D386" t="s">
        <v>11</v>
      </c>
      <c r="E386" t="str">
        <f>"13.0604"</f>
        <v>13.0604</v>
      </c>
      <c r="F386" t="s">
        <v>386</v>
      </c>
    </row>
    <row r="387" spans="1:6" x14ac:dyDescent="0.25">
      <c r="A387" t="str">
        <f>"13.0607"</f>
        <v>13.0607</v>
      </c>
      <c r="B387" t="s">
        <v>387</v>
      </c>
      <c r="C387" t="s">
        <v>7</v>
      </c>
      <c r="D387" t="s">
        <v>11</v>
      </c>
      <c r="E387" t="str">
        <f>"13.0607"</f>
        <v>13.0607</v>
      </c>
      <c r="F387" t="s">
        <v>387</v>
      </c>
    </row>
    <row r="388" spans="1:6" x14ac:dyDescent="0.25">
      <c r="C388" t="s">
        <v>26</v>
      </c>
      <c r="D388" t="s">
        <v>11</v>
      </c>
      <c r="E388" t="str">
        <f>"13.0608"</f>
        <v>13.0608</v>
      </c>
      <c r="F388" t="s">
        <v>388</v>
      </c>
    </row>
    <row r="389" spans="1:6" x14ac:dyDescent="0.25">
      <c r="A389" t="str">
        <f>"13.0699"</f>
        <v>13.0699</v>
      </c>
      <c r="B389" t="s">
        <v>389</v>
      </c>
      <c r="C389" t="s">
        <v>7</v>
      </c>
      <c r="D389" t="s">
        <v>11</v>
      </c>
      <c r="E389" t="str">
        <f>"13.0699"</f>
        <v>13.0699</v>
      </c>
      <c r="F389" t="s">
        <v>389</v>
      </c>
    </row>
    <row r="390" spans="1:6" x14ac:dyDescent="0.25">
      <c r="A390" t="str">
        <f>"13.07"</f>
        <v>13.07</v>
      </c>
      <c r="B390" t="s">
        <v>390</v>
      </c>
      <c r="C390" t="s">
        <v>7</v>
      </c>
      <c r="D390" t="s">
        <v>11</v>
      </c>
      <c r="E390" t="str">
        <f>"13.07"</f>
        <v>13.07</v>
      </c>
      <c r="F390" t="s">
        <v>390</v>
      </c>
    </row>
    <row r="391" spans="1:6" x14ac:dyDescent="0.25">
      <c r="A391" t="str">
        <f>"13.0701"</f>
        <v>13.0701</v>
      </c>
      <c r="B391" t="s">
        <v>390</v>
      </c>
      <c r="C391" t="s">
        <v>7</v>
      </c>
      <c r="D391" t="s">
        <v>11</v>
      </c>
      <c r="E391" t="str">
        <f>"13.0701"</f>
        <v>13.0701</v>
      </c>
      <c r="F391" t="s">
        <v>390</v>
      </c>
    </row>
    <row r="392" spans="1:6" x14ac:dyDescent="0.25">
      <c r="A392" t="str">
        <f>"13.09"</f>
        <v>13.09</v>
      </c>
      <c r="B392" t="s">
        <v>391</v>
      </c>
      <c r="C392" t="s">
        <v>7</v>
      </c>
      <c r="D392" t="s">
        <v>11</v>
      </c>
      <c r="E392" t="str">
        <f>"13.09"</f>
        <v>13.09</v>
      </c>
      <c r="F392" t="s">
        <v>391</v>
      </c>
    </row>
    <row r="393" spans="1:6" x14ac:dyDescent="0.25">
      <c r="A393" t="str">
        <f>"13.0901"</f>
        <v>13.0901</v>
      </c>
      <c r="B393" t="s">
        <v>391</v>
      </c>
      <c r="C393" t="s">
        <v>7</v>
      </c>
      <c r="D393" t="s">
        <v>11</v>
      </c>
      <c r="E393" t="str">
        <f>"13.0901"</f>
        <v>13.0901</v>
      </c>
      <c r="F393" t="s">
        <v>391</v>
      </c>
    </row>
    <row r="394" spans="1:6" x14ac:dyDescent="0.25">
      <c r="A394" t="str">
        <f>"13.10"</f>
        <v>13.10</v>
      </c>
      <c r="B394" t="s">
        <v>392</v>
      </c>
      <c r="C394" t="s">
        <v>7</v>
      </c>
      <c r="D394" t="s">
        <v>11</v>
      </c>
      <c r="E394" t="str">
        <f>"13.10"</f>
        <v>13.10</v>
      </c>
      <c r="F394" t="s">
        <v>392</v>
      </c>
    </row>
    <row r="395" spans="1:6" x14ac:dyDescent="0.25">
      <c r="A395" t="str">
        <f>"13.1001"</f>
        <v>13.1001</v>
      </c>
      <c r="B395" t="s">
        <v>393</v>
      </c>
      <c r="C395" t="s">
        <v>7</v>
      </c>
      <c r="D395" t="s">
        <v>8</v>
      </c>
      <c r="E395" t="str">
        <f>"13.1001"</f>
        <v>13.1001</v>
      </c>
      <c r="F395" t="s">
        <v>393</v>
      </c>
    </row>
    <row r="396" spans="1:6" x14ac:dyDescent="0.25">
      <c r="A396" t="str">
        <f>"13.1003"</f>
        <v>13.1003</v>
      </c>
      <c r="B396" t="s">
        <v>394</v>
      </c>
      <c r="C396" t="s">
        <v>7</v>
      </c>
      <c r="D396" t="s">
        <v>11</v>
      </c>
      <c r="E396" t="str">
        <f>"13.1003"</f>
        <v>13.1003</v>
      </c>
      <c r="F396" t="s">
        <v>394</v>
      </c>
    </row>
    <row r="397" spans="1:6" x14ac:dyDescent="0.25">
      <c r="A397" t="str">
        <f>"13.1004"</f>
        <v>13.1004</v>
      </c>
      <c r="B397" t="s">
        <v>395</v>
      </c>
      <c r="C397" t="s">
        <v>7</v>
      </c>
      <c r="D397" t="s">
        <v>11</v>
      </c>
      <c r="E397" t="str">
        <f>"13.1004"</f>
        <v>13.1004</v>
      </c>
      <c r="F397" t="s">
        <v>395</v>
      </c>
    </row>
    <row r="398" spans="1:6" x14ac:dyDescent="0.25">
      <c r="A398" t="str">
        <f>"13.1005"</f>
        <v>13.1005</v>
      </c>
      <c r="B398" t="s">
        <v>396</v>
      </c>
      <c r="C398" t="s">
        <v>7</v>
      </c>
      <c r="D398" t="s">
        <v>8</v>
      </c>
      <c r="E398" t="str">
        <f>"13.1005"</f>
        <v>13.1005</v>
      </c>
      <c r="F398" t="s">
        <v>396</v>
      </c>
    </row>
    <row r="399" spans="1:6" x14ac:dyDescent="0.25">
      <c r="A399" t="str">
        <f>"13.1006"</f>
        <v>13.1006</v>
      </c>
      <c r="B399" t="s">
        <v>397</v>
      </c>
      <c r="C399" t="s">
        <v>7</v>
      </c>
      <c r="D399" t="s">
        <v>8</v>
      </c>
      <c r="E399" t="str">
        <f>"13.1006"</f>
        <v>13.1006</v>
      </c>
      <c r="F399" t="s">
        <v>398</v>
      </c>
    </row>
    <row r="400" spans="1:6" x14ac:dyDescent="0.25">
      <c r="A400" t="str">
        <f>"13.1007"</f>
        <v>13.1007</v>
      </c>
      <c r="B400" t="s">
        <v>399</v>
      </c>
      <c r="C400" t="s">
        <v>7</v>
      </c>
      <c r="D400" t="s">
        <v>11</v>
      </c>
      <c r="E400" t="str">
        <f>"13.1007"</f>
        <v>13.1007</v>
      </c>
      <c r="F400" t="s">
        <v>399</v>
      </c>
    </row>
    <row r="401" spans="1:6" x14ac:dyDescent="0.25">
      <c r="A401" t="str">
        <f>"13.1008"</f>
        <v>13.1008</v>
      </c>
      <c r="B401" t="s">
        <v>400</v>
      </c>
      <c r="C401" t="s">
        <v>7</v>
      </c>
      <c r="D401" t="s">
        <v>11</v>
      </c>
      <c r="E401" t="str">
        <f>"13.1008"</f>
        <v>13.1008</v>
      </c>
      <c r="F401" t="s">
        <v>400</v>
      </c>
    </row>
    <row r="402" spans="1:6" x14ac:dyDescent="0.25">
      <c r="A402" t="str">
        <f>"13.1009"</f>
        <v>13.1009</v>
      </c>
      <c r="B402" t="s">
        <v>401</v>
      </c>
      <c r="C402" t="s">
        <v>7</v>
      </c>
      <c r="D402" t="s">
        <v>11</v>
      </c>
      <c r="E402" t="str">
        <f>"13.1009"</f>
        <v>13.1009</v>
      </c>
      <c r="F402" t="s">
        <v>401</v>
      </c>
    </row>
    <row r="403" spans="1:6" x14ac:dyDescent="0.25">
      <c r="A403" t="str">
        <f>"13.1011"</f>
        <v>13.1011</v>
      </c>
      <c r="B403" t="s">
        <v>402</v>
      </c>
      <c r="C403" t="s">
        <v>7</v>
      </c>
      <c r="D403" t="s">
        <v>11</v>
      </c>
      <c r="E403" t="str">
        <f>"13.1011"</f>
        <v>13.1011</v>
      </c>
      <c r="F403" t="s">
        <v>402</v>
      </c>
    </row>
    <row r="404" spans="1:6" x14ac:dyDescent="0.25">
      <c r="A404" t="str">
        <f>"13.1012"</f>
        <v>13.1012</v>
      </c>
      <c r="B404" t="s">
        <v>403</v>
      </c>
      <c r="C404" t="s">
        <v>7</v>
      </c>
      <c r="D404" t="s">
        <v>11</v>
      </c>
      <c r="E404" t="str">
        <f>"13.1012"</f>
        <v>13.1012</v>
      </c>
      <c r="F404" t="s">
        <v>403</v>
      </c>
    </row>
    <row r="405" spans="1:6" x14ac:dyDescent="0.25">
      <c r="A405" t="str">
        <f>"13.1013"</f>
        <v>13.1013</v>
      </c>
      <c r="B405" t="s">
        <v>404</v>
      </c>
      <c r="C405" t="s">
        <v>7</v>
      </c>
      <c r="D405" t="s">
        <v>11</v>
      </c>
      <c r="E405" t="str">
        <f>"13.1013"</f>
        <v>13.1013</v>
      </c>
      <c r="F405" t="s">
        <v>404</v>
      </c>
    </row>
    <row r="406" spans="1:6" x14ac:dyDescent="0.25">
      <c r="A406" t="str">
        <f>"13.1014"</f>
        <v>13.1014</v>
      </c>
      <c r="B406" t="s">
        <v>405</v>
      </c>
      <c r="C406" t="s">
        <v>7</v>
      </c>
      <c r="D406" t="s">
        <v>11</v>
      </c>
      <c r="E406" t="str">
        <f>"13.1014"</f>
        <v>13.1014</v>
      </c>
      <c r="F406" t="s">
        <v>405</v>
      </c>
    </row>
    <row r="407" spans="1:6" x14ac:dyDescent="0.25">
      <c r="A407" t="str">
        <f>"13.1015"</f>
        <v>13.1015</v>
      </c>
      <c r="B407" t="s">
        <v>406</v>
      </c>
      <c r="C407" t="s">
        <v>7</v>
      </c>
      <c r="D407" t="s">
        <v>11</v>
      </c>
      <c r="E407" t="str">
        <f>"13.1015"</f>
        <v>13.1015</v>
      </c>
      <c r="F407" t="s">
        <v>406</v>
      </c>
    </row>
    <row r="408" spans="1:6" x14ac:dyDescent="0.25">
      <c r="A408" t="str">
        <f>"13.1016"</f>
        <v>13.1016</v>
      </c>
      <c r="B408" t="s">
        <v>407</v>
      </c>
      <c r="C408" t="s">
        <v>7</v>
      </c>
      <c r="D408" t="s">
        <v>11</v>
      </c>
      <c r="E408" t="str">
        <f>"13.1016"</f>
        <v>13.1016</v>
      </c>
      <c r="F408" t="s">
        <v>407</v>
      </c>
    </row>
    <row r="409" spans="1:6" x14ac:dyDescent="0.25">
      <c r="A409" t="str">
        <f>"13.1017"</f>
        <v>13.1017</v>
      </c>
      <c r="B409" t="s">
        <v>408</v>
      </c>
      <c r="C409" t="s">
        <v>7</v>
      </c>
      <c r="D409" t="s">
        <v>11</v>
      </c>
      <c r="E409" t="str">
        <f>"13.1017"</f>
        <v>13.1017</v>
      </c>
      <c r="F409" t="s">
        <v>408</v>
      </c>
    </row>
    <row r="410" spans="1:6" x14ac:dyDescent="0.25">
      <c r="A410" t="str">
        <f>"13.1018"</f>
        <v>13.1018</v>
      </c>
      <c r="B410" t="s">
        <v>409</v>
      </c>
      <c r="C410" t="s">
        <v>7</v>
      </c>
      <c r="D410" t="s">
        <v>11</v>
      </c>
      <c r="E410" t="str">
        <f>"13.1018"</f>
        <v>13.1018</v>
      </c>
      <c r="F410" t="s">
        <v>409</v>
      </c>
    </row>
    <row r="411" spans="1:6" x14ac:dyDescent="0.25">
      <c r="A411" t="str">
        <f>"13.1019"</f>
        <v>13.1019</v>
      </c>
      <c r="B411" t="s">
        <v>410</v>
      </c>
      <c r="C411" t="s">
        <v>7</v>
      </c>
      <c r="D411" t="s">
        <v>11</v>
      </c>
      <c r="E411" t="str">
        <f>"13.1019"</f>
        <v>13.1019</v>
      </c>
      <c r="F411" t="s">
        <v>410</v>
      </c>
    </row>
    <row r="412" spans="1:6" x14ac:dyDescent="0.25">
      <c r="A412" t="str">
        <f>"13.1099"</f>
        <v>13.1099</v>
      </c>
      <c r="B412" t="s">
        <v>411</v>
      </c>
      <c r="C412" t="s">
        <v>7</v>
      </c>
      <c r="D412" t="s">
        <v>11</v>
      </c>
      <c r="E412" t="str">
        <f>"13.1099"</f>
        <v>13.1099</v>
      </c>
      <c r="F412" t="s">
        <v>411</v>
      </c>
    </row>
    <row r="413" spans="1:6" x14ac:dyDescent="0.25">
      <c r="A413" t="str">
        <f>"13.11"</f>
        <v>13.11</v>
      </c>
      <c r="B413" t="s">
        <v>412</v>
      </c>
      <c r="C413" t="s">
        <v>7</v>
      </c>
      <c r="D413" t="s">
        <v>11</v>
      </c>
      <c r="E413" t="str">
        <f>"13.11"</f>
        <v>13.11</v>
      </c>
      <c r="F413" t="s">
        <v>412</v>
      </c>
    </row>
    <row r="414" spans="1:6" x14ac:dyDescent="0.25">
      <c r="A414" t="str">
        <f>"13.1101"</f>
        <v>13.1101</v>
      </c>
      <c r="B414" t="s">
        <v>413</v>
      </c>
      <c r="C414" t="s">
        <v>7</v>
      </c>
      <c r="D414" t="s">
        <v>11</v>
      </c>
      <c r="E414" t="str">
        <f>"13.1101"</f>
        <v>13.1101</v>
      </c>
      <c r="F414" t="s">
        <v>413</v>
      </c>
    </row>
    <row r="415" spans="1:6" x14ac:dyDescent="0.25">
      <c r="A415" t="str">
        <f>"13.1102"</f>
        <v>13.1102</v>
      </c>
      <c r="B415" t="s">
        <v>414</v>
      </c>
      <c r="C415" t="s">
        <v>7</v>
      </c>
      <c r="D415" t="s">
        <v>11</v>
      </c>
      <c r="E415" t="str">
        <f>"13.1102"</f>
        <v>13.1102</v>
      </c>
      <c r="F415" t="s">
        <v>414</v>
      </c>
    </row>
    <row r="416" spans="1:6" x14ac:dyDescent="0.25">
      <c r="A416" t="str">
        <f>"13.1199"</f>
        <v>13.1199</v>
      </c>
      <c r="B416" t="s">
        <v>415</v>
      </c>
      <c r="C416" t="s">
        <v>7</v>
      </c>
      <c r="D416" t="s">
        <v>11</v>
      </c>
      <c r="E416" t="str">
        <f>"13.1199"</f>
        <v>13.1199</v>
      </c>
      <c r="F416" t="s">
        <v>415</v>
      </c>
    </row>
    <row r="417" spans="1:6" x14ac:dyDescent="0.25">
      <c r="A417" t="str">
        <f>"13.12"</f>
        <v>13.12</v>
      </c>
      <c r="B417" t="s">
        <v>416</v>
      </c>
      <c r="C417" t="s">
        <v>7</v>
      </c>
      <c r="D417" t="s">
        <v>11</v>
      </c>
      <c r="E417" t="str">
        <f>"13.12"</f>
        <v>13.12</v>
      </c>
      <c r="F417" t="s">
        <v>416</v>
      </c>
    </row>
    <row r="418" spans="1:6" x14ac:dyDescent="0.25">
      <c r="A418" t="str">
        <f>"13.1201"</f>
        <v>13.1201</v>
      </c>
      <c r="B418" t="s">
        <v>417</v>
      </c>
      <c r="C418" t="s">
        <v>7</v>
      </c>
      <c r="D418" t="s">
        <v>11</v>
      </c>
      <c r="E418" t="str">
        <f>"13.1201"</f>
        <v>13.1201</v>
      </c>
      <c r="F418" t="s">
        <v>417</v>
      </c>
    </row>
    <row r="419" spans="1:6" x14ac:dyDescent="0.25">
      <c r="A419" t="str">
        <f>"13.1202"</f>
        <v>13.1202</v>
      </c>
      <c r="B419" t="s">
        <v>418</v>
      </c>
      <c r="C419" t="s">
        <v>7</v>
      </c>
      <c r="D419" t="s">
        <v>11</v>
      </c>
      <c r="E419" t="str">
        <f>"13.1202"</f>
        <v>13.1202</v>
      </c>
      <c r="F419" t="s">
        <v>418</v>
      </c>
    </row>
    <row r="420" spans="1:6" x14ac:dyDescent="0.25">
      <c r="A420" t="str">
        <f>"13.1203"</f>
        <v>13.1203</v>
      </c>
      <c r="B420" t="s">
        <v>419</v>
      </c>
      <c r="C420" t="s">
        <v>7</v>
      </c>
      <c r="D420" t="s">
        <v>11</v>
      </c>
      <c r="E420" t="str">
        <f>"13.1203"</f>
        <v>13.1203</v>
      </c>
      <c r="F420" t="s">
        <v>419</v>
      </c>
    </row>
    <row r="421" spans="1:6" x14ac:dyDescent="0.25">
      <c r="A421" t="str">
        <f>"13.1205"</f>
        <v>13.1205</v>
      </c>
      <c r="B421" t="s">
        <v>420</v>
      </c>
      <c r="C421" t="s">
        <v>7</v>
      </c>
      <c r="D421" t="s">
        <v>11</v>
      </c>
      <c r="E421" t="str">
        <f>"13.1205"</f>
        <v>13.1205</v>
      </c>
      <c r="F421" t="s">
        <v>420</v>
      </c>
    </row>
    <row r="422" spans="1:6" x14ac:dyDescent="0.25">
      <c r="A422" t="str">
        <f>"13.1206"</f>
        <v>13.1206</v>
      </c>
      <c r="B422" t="s">
        <v>421</v>
      </c>
      <c r="C422" t="s">
        <v>7</v>
      </c>
      <c r="D422" t="s">
        <v>11</v>
      </c>
      <c r="E422" t="str">
        <f>"13.1206"</f>
        <v>13.1206</v>
      </c>
      <c r="F422" t="s">
        <v>421</v>
      </c>
    </row>
    <row r="423" spans="1:6" x14ac:dyDescent="0.25">
      <c r="A423" t="str">
        <f>"13.1207"</f>
        <v>13.1207</v>
      </c>
      <c r="B423" t="s">
        <v>422</v>
      </c>
      <c r="C423" t="s">
        <v>7</v>
      </c>
      <c r="D423" t="s">
        <v>11</v>
      </c>
      <c r="E423" t="str">
        <f>"13.1207"</f>
        <v>13.1207</v>
      </c>
      <c r="F423" t="s">
        <v>422</v>
      </c>
    </row>
    <row r="424" spans="1:6" x14ac:dyDescent="0.25">
      <c r="A424" t="str">
        <f>"13.1208"</f>
        <v>13.1208</v>
      </c>
      <c r="B424" t="s">
        <v>423</v>
      </c>
      <c r="C424" t="s">
        <v>7</v>
      </c>
      <c r="D424" t="s">
        <v>11</v>
      </c>
      <c r="E424" t="str">
        <f>"13.1208"</f>
        <v>13.1208</v>
      </c>
      <c r="F424" t="s">
        <v>423</v>
      </c>
    </row>
    <row r="425" spans="1:6" x14ac:dyDescent="0.25">
      <c r="A425" t="str">
        <f>"13.1209"</f>
        <v>13.1209</v>
      </c>
      <c r="B425" t="s">
        <v>424</v>
      </c>
      <c r="C425" t="s">
        <v>7</v>
      </c>
      <c r="D425" t="s">
        <v>11</v>
      </c>
      <c r="E425" t="str">
        <f>"13.1209"</f>
        <v>13.1209</v>
      </c>
      <c r="F425" t="s">
        <v>424</v>
      </c>
    </row>
    <row r="426" spans="1:6" x14ac:dyDescent="0.25">
      <c r="A426" t="str">
        <f>"13.1210"</f>
        <v>13.1210</v>
      </c>
      <c r="B426" t="s">
        <v>425</v>
      </c>
      <c r="C426" t="s">
        <v>7</v>
      </c>
      <c r="D426" t="s">
        <v>11</v>
      </c>
      <c r="E426" t="str">
        <f>"13.1210"</f>
        <v>13.1210</v>
      </c>
      <c r="F426" t="s">
        <v>425</v>
      </c>
    </row>
    <row r="427" spans="1:6" x14ac:dyDescent="0.25">
      <c r="C427" t="s">
        <v>26</v>
      </c>
      <c r="D427" t="s">
        <v>11</v>
      </c>
      <c r="E427" t="str">
        <f>"13.1211"</f>
        <v>13.1211</v>
      </c>
      <c r="F427" t="s">
        <v>426</v>
      </c>
    </row>
    <row r="428" spans="1:6" x14ac:dyDescent="0.25">
      <c r="C428" t="s">
        <v>26</v>
      </c>
      <c r="D428" t="s">
        <v>11</v>
      </c>
      <c r="E428" t="str">
        <f>"13.1212"</f>
        <v>13.1212</v>
      </c>
      <c r="F428" t="s">
        <v>427</v>
      </c>
    </row>
    <row r="429" spans="1:6" x14ac:dyDescent="0.25">
      <c r="C429" t="s">
        <v>26</v>
      </c>
      <c r="D429" t="s">
        <v>11</v>
      </c>
      <c r="E429" t="str">
        <f>"13.1213"</f>
        <v>13.1213</v>
      </c>
      <c r="F429" t="s">
        <v>428</v>
      </c>
    </row>
    <row r="430" spans="1:6" x14ac:dyDescent="0.25">
      <c r="C430" t="s">
        <v>26</v>
      </c>
      <c r="D430" t="s">
        <v>11</v>
      </c>
      <c r="E430" t="str">
        <f>"13.1214"</f>
        <v>13.1214</v>
      </c>
      <c r="F430" t="s">
        <v>429</v>
      </c>
    </row>
    <row r="431" spans="1:6" x14ac:dyDescent="0.25">
      <c r="A431" t="str">
        <f>"13.1299"</f>
        <v>13.1299</v>
      </c>
      <c r="B431" t="s">
        <v>430</v>
      </c>
      <c r="C431" t="s">
        <v>7</v>
      </c>
      <c r="D431" t="s">
        <v>11</v>
      </c>
      <c r="E431" t="str">
        <f>"13.1299"</f>
        <v>13.1299</v>
      </c>
      <c r="F431" t="s">
        <v>430</v>
      </c>
    </row>
    <row r="432" spans="1:6" x14ac:dyDescent="0.25">
      <c r="A432" t="str">
        <f>"13.13"</f>
        <v>13.13</v>
      </c>
      <c r="B432" t="s">
        <v>431</v>
      </c>
      <c r="C432" t="s">
        <v>7</v>
      </c>
      <c r="D432" t="s">
        <v>11</v>
      </c>
      <c r="E432" t="str">
        <f>"13.13"</f>
        <v>13.13</v>
      </c>
      <c r="F432" t="s">
        <v>431</v>
      </c>
    </row>
    <row r="433" spans="1:6" x14ac:dyDescent="0.25">
      <c r="A433" t="str">
        <f>"13.1301"</f>
        <v>13.1301</v>
      </c>
      <c r="B433" t="s">
        <v>432</v>
      </c>
      <c r="C433" t="s">
        <v>7</v>
      </c>
      <c r="D433" t="s">
        <v>11</v>
      </c>
      <c r="E433" t="str">
        <f>"13.1301"</f>
        <v>13.1301</v>
      </c>
      <c r="F433" t="s">
        <v>432</v>
      </c>
    </row>
    <row r="434" spans="1:6" x14ac:dyDescent="0.25">
      <c r="A434" t="str">
        <f>"13.1302"</f>
        <v>13.1302</v>
      </c>
      <c r="B434" t="s">
        <v>433</v>
      </c>
      <c r="C434" t="s">
        <v>7</v>
      </c>
      <c r="D434" t="s">
        <v>11</v>
      </c>
      <c r="E434" t="str">
        <f>"13.1302"</f>
        <v>13.1302</v>
      </c>
      <c r="F434" t="s">
        <v>433</v>
      </c>
    </row>
    <row r="435" spans="1:6" x14ac:dyDescent="0.25">
      <c r="A435" t="str">
        <f>"13.1303"</f>
        <v>13.1303</v>
      </c>
      <c r="B435" t="s">
        <v>434</v>
      </c>
      <c r="C435" t="s">
        <v>7</v>
      </c>
      <c r="D435" t="s">
        <v>8</v>
      </c>
      <c r="E435" t="str">
        <f>"13.1303"</f>
        <v>13.1303</v>
      </c>
      <c r="F435" t="s">
        <v>435</v>
      </c>
    </row>
    <row r="436" spans="1:6" x14ac:dyDescent="0.25">
      <c r="A436" t="str">
        <f>"13.1304"</f>
        <v>13.1304</v>
      </c>
      <c r="B436" t="s">
        <v>436</v>
      </c>
      <c r="C436" t="s">
        <v>7</v>
      </c>
      <c r="D436" t="s">
        <v>11</v>
      </c>
      <c r="E436" t="str">
        <f>"13.1304"</f>
        <v>13.1304</v>
      </c>
      <c r="F436" t="s">
        <v>436</v>
      </c>
    </row>
    <row r="437" spans="1:6" x14ac:dyDescent="0.25">
      <c r="A437" t="str">
        <f>"13.1305"</f>
        <v>13.1305</v>
      </c>
      <c r="B437" t="s">
        <v>437</v>
      </c>
      <c r="C437" t="s">
        <v>7</v>
      </c>
      <c r="D437" t="s">
        <v>11</v>
      </c>
      <c r="E437" t="str">
        <f>"13.1305"</f>
        <v>13.1305</v>
      </c>
      <c r="F437" t="s">
        <v>437</v>
      </c>
    </row>
    <row r="438" spans="1:6" x14ac:dyDescent="0.25">
      <c r="A438" t="str">
        <f>"13.1306"</f>
        <v>13.1306</v>
      </c>
      <c r="B438" t="s">
        <v>438</v>
      </c>
      <c r="C438" t="s">
        <v>7</v>
      </c>
      <c r="D438" t="s">
        <v>11</v>
      </c>
      <c r="E438" t="str">
        <f>"13.1306"</f>
        <v>13.1306</v>
      </c>
      <c r="F438" t="s">
        <v>438</v>
      </c>
    </row>
    <row r="439" spans="1:6" x14ac:dyDescent="0.25">
      <c r="A439" t="str">
        <f>"13.1307"</f>
        <v>13.1307</v>
      </c>
      <c r="B439" t="s">
        <v>439</v>
      </c>
      <c r="C439" t="s">
        <v>7</v>
      </c>
      <c r="D439" t="s">
        <v>11</v>
      </c>
      <c r="E439" t="str">
        <f>"13.1307"</f>
        <v>13.1307</v>
      </c>
      <c r="F439" t="s">
        <v>439</v>
      </c>
    </row>
    <row r="440" spans="1:6" x14ac:dyDescent="0.25">
      <c r="A440" t="str">
        <f>"13.1308"</f>
        <v>13.1308</v>
      </c>
      <c r="B440" t="s">
        <v>440</v>
      </c>
      <c r="C440" t="s">
        <v>7</v>
      </c>
      <c r="D440" t="s">
        <v>11</v>
      </c>
      <c r="E440" t="str">
        <f>"13.1308"</f>
        <v>13.1308</v>
      </c>
      <c r="F440" t="s">
        <v>440</v>
      </c>
    </row>
    <row r="441" spans="1:6" x14ac:dyDescent="0.25">
      <c r="A441" t="str">
        <f>"13.1309"</f>
        <v>13.1309</v>
      </c>
      <c r="B441" t="s">
        <v>441</v>
      </c>
      <c r="C441" t="s">
        <v>7</v>
      </c>
      <c r="D441" t="s">
        <v>11</v>
      </c>
      <c r="E441" t="str">
        <f>"13.1309"</f>
        <v>13.1309</v>
      </c>
      <c r="F441" t="s">
        <v>441</v>
      </c>
    </row>
    <row r="442" spans="1:6" x14ac:dyDescent="0.25">
      <c r="A442" t="str">
        <f>"13.1310"</f>
        <v>13.1310</v>
      </c>
      <c r="B442" t="s">
        <v>442</v>
      </c>
      <c r="C442" t="s">
        <v>7</v>
      </c>
      <c r="D442" t="s">
        <v>11</v>
      </c>
      <c r="E442" t="str">
        <f>"13.1310"</f>
        <v>13.1310</v>
      </c>
      <c r="F442" t="s">
        <v>442</v>
      </c>
    </row>
    <row r="443" spans="1:6" x14ac:dyDescent="0.25">
      <c r="A443" t="str">
        <f>"13.1311"</f>
        <v>13.1311</v>
      </c>
      <c r="B443" t="s">
        <v>443</v>
      </c>
      <c r="C443" t="s">
        <v>7</v>
      </c>
      <c r="D443" t="s">
        <v>11</v>
      </c>
      <c r="E443" t="str">
        <f>"13.1311"</f>
        <v>13.1311</v>
      </c>
      <c r="F443" t="s">
        <v>443</v>
      </c>
    </row>
    <row r="444" spans="1:6" x14ac:dyDescent="0.25">
      <c r="A444" t="str">
        <f>"13.1312"</f>
        <v>13.1312</v>
      </c>
      <c r="B444" t="s">
        <v>444</v>
      </c>
      <c r="C444" t="s">
        <v>7</v>
      </c>
      <c r="D444" t="s">
        <v>11</v>
      </c>
      <c r="E444" t="str">
        <f>"13.1312"</f>
        <v>13.1312</v>
      </c>
      <c r="F444" t="s">
        <v>444</v>
      </c>
    </row>
    <row r="445" spans="1:6" x14ac:dyDescent="0.25">
      <c r="A445" t="str">
        <f>"13.1314"</f>
        <v>13.1314</v>
      </c>
      <c r="B445" t="s">
        <v>445</v>
      </c>
      <c r="C445" t="s">
        <v>7</v>
      </c>
      <c r="D445" t="s">
        <v>11</v>
      </c>
      <c r="E445" t="str">
        <f>"13.1314"</f>
        <v>13.1314</v>
      </c>
      <c r="F445" t="s">
        <v>445</v>
      </c>
    </row>
    <row r="446" spans="1:6" x14ac:dyDescent="0.25">
      <c r="A446" t="str">
        <f>"13.1315"</f>
        <v>13.1315</v>
      </c>
      <c r="B446" t="s">
        <v>446</v>
      </c>
      <c r="C446" t="s">
        <v>7</v>
      </c>
      <c r="D446" t="s">
        <v>11</v>
      </c>
      <c r="E446" t="str">
        <f>"13.1315"</f>
        <v>13.1315</v>
      </c>
      <c r="F446" t="s">
        <v>446</v>
      </c>
    </row>
    <row r="447" spans="1:6" x14ac:dyDescent="0.25">
      <c r="A447" t="str">
        <f>"13.1316"</f>
        <v>13.1316</v>
      </c>
      <c r="B447" t="s">
        <v>447</v>
      </c>
      <c r="C447" t="s">
        <v>7</v>
      </c>
      <c r="D447" t="s">
        <v>11</v>
      </c>
      <c r="E447" t="str">
        <f>"13.1316"</f>
        <v>13.1316</v>
      </c>
      <c r="F447" t="s">
        <v>447</v>
      </c>
    </row>
    <row r="448" spans="1:6" x14ac:dyDescent="0.25">
      <c r="A448" t="str">
        <f>"13.1317"</f>
        <v>13.1317</v>
      </c>
      <c r="B448" t="s">
        <v>448</v>
      </c>
      <c r="C448" t="s">
        <v>7</v>
      </c>
      <c r="D448" t="s">
        <v>11</v>
      </c>
      <c r="E448" t="str">
        <f>"13.1317"</f>
        <v>13.1317</v>
      </c>
      <c r="F448" t="s">
        <v>448</v>
      </c>
    </row>
    <row r="449" spans="1:6" x14ac:dyDescent="0.25">
      <c r="A449" t="str">
        <f>"13.1318"</f>
        <v>13.1318</v>
      </c>
      <c r="B449" t="s">
        <v>449</v>
      </c>
      <c r="C449" t="s">
        <v>7</v>
      </c>
      <c r="D449" t="s">
        <v>11</v>
      </c>
      <c r="E449" t="str">
        <f>"13.1318"</f>
        <v>13.1318</v>
      </c>
      <c r="F449" t="s">
        <v>449</v>
      </c>
    </row>
    <row r="450" spans="1:6" x14ac:dyDescent="0.25">
      <c r="A450" t="str">
        <f>"13.1319"</f>
        <v>13.1319</v>
      </c>
      <c r="B450" t="s">
        <v>450</v>
      </c>
      <c r="C450" t="s">
        <v>7</v>
      </c>
      <c r="D450" t="s">
        <v>11</v>
      </c>
      <c r="E450" t="str">
        <f>"13.1319"</f>
        <v>13.1319</v>
      </c>
      <c r="F450" t="s">
        <v>450</v>
      </c>
    </row>
    <row r="451" spans="1:6" x14ac:dyDescent="0.25">
      <c r="A451" t="str">
        <f>"13.1320"</f>
        <v>13.1320</v>
      </c>
      <c r="B451" t="s">
        <v>451</v>
      </c>
      <c r="C451" t="s">
        <v>7</v>
      </c>
      <c r="D451" t="s">
        <v>11</v>
      </c>
      <c r="E451" t="str">
        <f>"13.1320"</f>
        <v>13.1320</v>
      </c>
      <c r="F451" t="s">
        <v>451</v>
      </c>
    </row>
    <row r="452" spans="1:6" x14ac:dyDescent="0.25">
      <c r="A452" t="str">
        <f>"13.1321"</f>
        <v>13.1321</v>
      </c>
      <c r="B452" t="s">
        <v>452</v>
      </c>
      <c r="C452" t="s">
        <v>7</v>
      </c>
      <c r="D452" t="s">
        <v>11</v>
      </c>
      <c r="E452" t="str">
        <f>"13.1321"</f>
        <v>13.1321</v>
      </c>
      <c r="F452" t="s">
        <v>452</v>
      </c>
    </row>
    <row r="453" spans="1:6" x14ac:dyDescent="0.25">
      <c r="A453" t="str">
        <f>"13.1322"</f>
        <v>13.1322</v>
      </c>
      <c r="B453" t="s">
        <v>453</v>
      </c>
      <c r="C453" t="s">
        <v>7</v>
      </c>
      <c r="D453" t="s">
        <v>11</v>
      </c>
      <c r="E453" t="str">
        <f>"13.1322"</f>
        <v>13.1322</v>
      </c>
      <c r="F453" t="s">
        <v>453</v>
      </c>
    </row>
    <row r="454" spans="1:6" x14ac:dyDescent="0.25">
      <c r="A454" t="str">
        <f>"13.1323"</f>
        <v>13.1323</v>
      </c>
      <c r="B454" t="s">
        <v>454</v>
      </c>
      <c r="C454" t="s">
        <v>7</v>
      </c>
      <c r="D454" t="s">
        <v>11</v>
      </c>
      <c r="E454" t="str">
        <f>"13.1323"</f>
        <v>13.1323</v>
      </c>
      <c r="F454" t="s">
        <v>454</v>
      </c>
    </row>
    <row r="455" spans="1:6" x14ac:dyDescent="0.25">
      <c r="A455" t="str">
        <f>"13.1324"</f>
        <v>13.1324</v>
      </c>
      <c r="B455" t="s">
        <v>455</v>
      </c>
      <c r="C455" t="s">
        <v>7</v>
      </c>
      <c r="D455" t="s">
        <v>11</v>
      </c>
      <c r="E455" t="str">
        <f>"13.1324"</f>
        <v>13.1324</v>
      </c>
      <c r="F455" t="s">
        <v>455</v>
      </c>
    </row>
    <row r="456" spans="1:6" x14ac:dyDescent="0.25">
      <c r="A456" t="str">
        <f>"13.1325"</f>
        <v>13.1325</v>
      </c>
      <c r="B456" t="s">
        <v>456</v>
      </c>
      <c r="C456" t="s">
        <v>7</v>
      </c>
      <c r="D456" t="s">
        <v>11</v>
      </c>
      <c r="E456" t="str">
        <f>"13.1325"</f>
        <v>13.1325</v>
      </c>
      <c r="F456" t="s">
        <v>456</v>
      </c>
    </row>
    <row r="457" spans="1:6" x14ac:dyDescent="0.25">
      <c r="A457" t="str">
        <f>"13.1326"</f>
        <v>13.1326</v>
      </c>
      <c r="B457" t="s">
        <v>457</v>
      </c>
      <c r="C457" t="s">
        <v>7</v>
      </c>
      <c r="D457" t="s">
        <v>11</v>
      </c>
      <c r="E457" t="str">
        <f>"13.1326"</f>
        <v>13.1326</v>
      </c>
      <c r="F457" t="s">
        <v>457</v>
      </c>
    </row>
    <row r="458" spans="1:6" x14ac:dyDescent="0.25">
      <c r="A458" t="str">
        <f>"13.1327"</f>
        <v>13.1327</v>
      </c>
      <c r="B458" t="s">
        <v>458</v>
      </c>
      <c r="C458" t="s">
        <v>7</v>
      </c>
      <c r="D458" t="s">
        <v>11</v>
      </c>
      <c r="E458" t="str">
        <f>"13.1327"</f>
        <v>13.1327</v>
      </c>
      <c r="F458" t="s">
        <v>458</v>
      </c>
    </row>
    <row r="459" spans="1:6" x14ac:dyDescent="0.25">
      <c r="A459" t="str">
        <f>"13.1328"</f>
        <v>13.1328</v>
      </c>
      <c r="B459" t="s">
        <v>459</v>
      </c>
      <c r="C459" t="s">
        <v>7</v>
      </c>
      <c r="D459" t="s">
        <v>11</v>
      </c>
      <c r="E459" t="str">
        <f>"13.1328"</f>
        <v>13.1328</v>
      </c>
      <c r="F459" t="s">
        <v>459</v>
      </c>
    </row>
    <row r="460" spans="1:6" x14ac:dyDescent="0.25">
      <c r="A460" t="str">
        <f>"13.1329"</f>
        <v>13.1329</v>
      </c>
      <c r="B460" t="s">
        <v>460</v>
      </c>
      <c r="C460" t="s">
        <v>7</v>
      </c>
      <c r="D460" t="s">
        <v>11</v>
      </c>
      <c r="E460" t="str">
        <f>"13.1329"</f>
        <v>13.1329</v>
      </c>
      <c r="F460" t="s">
        <v>460</v>
      </c>
    </row>
    <row r="461" spans="1:6" x14ac:dyDescent="0.25">
      <c r="A461" t="str">
        <f>"13.1330"</f>
        <v>13.1330</v>
      </c>
      <c r="B461" t="s">
        <v>461</v>
      </c>
      <c r="C461" t="s">
        <v>7</v>
      </c>
      <c r="D461" t="s">
        <v>11</v>
      </c>
      <c r="E461" t="str">
        <f>"13.1330"</f>
        <v>13.1330</v>
      </c>
      <c r="F461" t="s">
        <v>461</v>
      </c>
    </row>
    <row r="462" spans="1:6" x14ac:dyDescent="0.25">
      <c r="A462" t="str">
        <f>"13.1331"</f>
        <v>13.1331</v>
      </c>
      <c r="B462" t="s">
        <v>462</v>
      </c>
      <c r="C462" t="s">
        <v>7</v>
      </c>
      <c r="D462" t="s">
        <v>11</v>
      </c>
      <c r="E462" t="str">
        <f>"13.1331"</f>
        <v>13.1331</v>
      </c>
      <c r="F462" t="s">
        <v>462</v>
      </c>
    </row>
    <row r="463" spans="1:6" x14ac:dyDescent="0.25">
      <c r="A463" t="str">
        <f>"13.1332"</f>
        <v>13.1332</v>
      </c>
      <c r="B463" t="s">
        <v>463</v>
      </c>
      <c r="C463" t="s">
        <v>7</v>
      </c>
      <c r="D463" t="s">
        <v>11</v>
      </c>
      <c r="E463" t="str">
        <f>"13.1332"</f>
        <v>13.1332</v>
      </c>
      <c r="F463" t="s">
        <v>463</v>
      </c>
    </row>
    <row r="464" spans="1:6" x14ac:dyDescent="0.25">
      <c r="A464" t="str">
        <f>"13.1333"</f>
        <v>13.1333</v>
      </c>
      <c r="B464" t="s">
        <v>464</v>
      </c>
      <c r="C464" t="s">
        <v>7</v>
      </c>
      <c r="D464" t="s">
        <v>11</v>
      </c>
      <c r="E464" t="str">
        <f>"13.1333"</f>
        <v>13.1333</v>
      </c>
      <c r="F464" t="s">
        <v>464</v>
      </c>
    </row>
    <row r="465" spans="1:6" x14ac:dyDescent="0.25">
      <c r="A465" t="str">
        <f>"13.1334"</f>
        <v>13.1334</v>
      </c>
      <c r="B465" t="s">
        <v>465</v>
      </c>
      <c r="C465" t="s">
        <v>7</v>
      </c>
      <c r="D465" t="s">
        <v>11</v>
      </c>
      <c r="E465" t="str">
        <f>"13.1334"</f>
        <v>13.1334</v>
      </c>
      <c r="F465" t="s">
        <v>465</v>
      </c>
    </row>
    <row r="466" spans="1:6" x14ac:dyDescent="0.25">
      <c r="A466" t="str">
        <f>"13.1335"</f>
        <v>13.1335</v>
      </c>
      <c r="B466" t="s">
        <v>466</v>
      </c>
      <c r="C466" t="s">
        <v>7</v>
      </c>
      <c r="D466" t="s">
        <v>11</v>
      </c>
      <c r="E466" t="str">
        <f>"13.1335"</f>
        <v>13.1335</v>
      </c>
      <c r="F466" t="s">
        <v>466</v>
      </c>
    </row>
    <row r="467" spans="1:6" x14ac:dyDescent="0.25">
      <c r="A467" t="str">
        <f>"13.1337"</f>
        <v>13.1337</v>
      </c>
      <c r="B467" t="s">
        <v>467</v>
      </c>
      <c r="C467" t="s">
        <v>7</v>
      </c>
      <c r="D467" t="s">
        <v>11</v>
      </c>
      <c r="E467" t="str">
        <f>"13.1337"</f>
        <v>13.1337</v>
      </c>
      <c r="F467" t="s">
        <v>467</v>
      </c>
    </row>
    <row r="468" spans="1:6" x14ac:dyDescent="0.25">
      <c r="A468" t="str">
        <f>"13.1338"</f>
        <v>13.1338</v>
      </c>
      <c r="B468" t="s">
        <v>468</v>
      </c>
      <c r="C468" t="s">
        <v>7</v>
      </c>
      <c r="D468" t="s">
        <v>11</v>
      </c>
      <c r="E468" t="str">
        <f>"13.1338"</f>
        <v>13.1338</v>
      </c>
      <c r="F468" t="s">
        <v>468</v>
      </c>
    </row>
    <row r="469" spans="1:6" x14ac:dyDescent="0.25">
      <c r="C469" t="s">
        <v>26</v>
      </c>
      <c r="D469" t="s">
        <v>11</v>
      </c>
      <c r="E469" t="str">
        <f>"13.1339"</f>
        <v>13.1339</v>
      </c>
      <c r="F469" t="s">
        <v>469</v>
      </c>
    </row>
    <row r="470" spans="1:6" x14ac:dyDescent="0.25">
      <c r="A470" t="str">
        <f>"13.1399"</f>
        <v>13.1399</v>
      </c>
      <c r="B470" t="s">
        <v>470</v>
      </c>
      <c r="C470" t="s">
        <v>7</v>
      </c>
      <c r="D470" t="s">
        <v>11</v>
      </c>
      <c r="E470" t="str">
        <f>"13.1399"</f>
        <v>13.1399</v>
      </c>
      <c r="F470" t="s">
        <v>470</v>
      </c>
    </row>
    <row r="471" spans="1:6" x14ac:dyDescent="0.25">
      <c r="A471" t="str">
        <f>"13.14"</f>
        <v>13.14</v>
      </c>
      <c r="B471" t="s">
        <v>471</v>
      </c>
      <c r="C471" t="s">
        <v>7</v>
      </c>
      <c r="D471" t="s">
        <v>11</v>
      </c>
      <c r="E471" t="str">
        <f>"13.14"</f>
        <v>13.14</v>
      </c>
      <c r="F471" t="s">
        <v>471</v>
      </c>
    </row>
    <row r="472" spans="1:6" x14ac:dyDescent="0.25">
      <c r="A472" t="str">
        <f>"13.1401"</f>
        <v>13.1401</v>
      </c>
      <c r="B472" t="s">
        <v>472</v>
      </c>
      <c r="C472" t="s">
        <v>7</v>
      </c>
      <c r="D472" t="s">
        <v>11</v>
      </c>
      <c r="E472" t="str">
        <f>"13.1401"</f>
        <v>13.1401</v>
      </c>
      <c r="F472" t="s">
        <v>472</v>
      </c>
    </row>
    <row r="473" spans="1:6" x14ac:dyDescent="0.25">
      <c r="A473" t="str">
        <f>"13.1402"</f>
        <v>13.1402</v>
      </c>
      <c r="B473" t="s">
        <v>473</v>
      </c>
      <c r="C473" t="s">
        <v>7</v>
      </c>
      <c r="D473" t="s">
        <v>11</v>
      </c>
      <c r="E473" t="str">
        <f>"13.1402"</f>
        <v>13.1402</v>
      </c>
      <c r="F473" t="s">
        <v>473</v>
      </c>
    </row>
    <row r="474" spans="1:6" x14ac:dyDescent="0.25">
      <c r="A474" t="str">
        <f>"13.1499"</f>
        <v>13.1499</v>
      </c>
      <c r="B474" t="s">
        <v>474</v>
      </c>
      <c r="C474" t="s">
        <v>7</v>
      </c>
      <c r="D474" t="s">
        <v>11</v>
      </c>
      <c r="E474" t="str">
        <f>"13.1499"</f>
        <v>13.1499</v>
      </c>
      <c r="F474" t="s">
        <v>474</v>
      </c>
    </row>
    <row r="475" spans="1:6" x14ac:dyDescent="0.25">
      <c r="A475" t="str">
        <f>"13.15"</f>
        <v>13.15</v>
      </c>
      <c r="B475" t="s">
        <v>475</v>
      </c>
      <c r="C475" t="s">
        <v>7</v>
      </c>
      <c r="D475" t="s">
        <v>11</v>
      </c>
      <c r="E475" t="str">
        <f>"13.15"</f>
        <v>13.15</v>
      </c>
      <c r="F475" t="s">
        <v>475</v>
      </c>
    </row>
    <row r="476" spans="1:6" x14ac:dyDescent="0.25">
      <c r="A476" t="str">
        <f>"13.1501"</f>
        <v>13.1501</v>
      </c>
      <c r="B476" t="s">
        <v>476</v>
      </c>
      <c r="C476" t="s">
        <v>7</v>
      </c>
      <c r="D476" t="s">
        <v>11</v>
      </c>
      <c r="E476" t="str">
        <f>"13.1501"</f>
        <v>13.1501</v>
      </c>
      <c r="F476" t="s">
        <v>476</v>
      </c>
    </row>
    <row r="477" spans="1:6" x14ac:dyDescent="0.25">
      <c r="A477" t="str">
        <f>"13.1502"</f>
        <v>13.1502</v>
      </c>
      <c r="B477" t="s">
        <v>477</v>
      </c>
      <c r="C477" t="s">
        <v>7</v>
      </c>
      <c r="D477" t="s">
        <v>11</v>
      </c>
      <c r="E477" t="str">
        <f>"13.1502"</f>
        <v>13.1502</v>
      </c>
      <c r="F477" t="s">
        <v>477</v>
      </c>
    </row>
    <row r="478" spans="1:6" x14ac:dyDescent="0.25">
      <c r="A478" t="str">
        <f>"13.1599"</f>
        <v>13.1599</v>
      </c>
      <c r="B478" t="s">
        <v>478</v>
      </c>
      <c r="C478" t="s">
        <v>7</v>
      </c>
      <c r="D478" t="s">
        <v>11</v>
      </c>
      <c r="E478" t="str">
        <f>"13.1599"</f>
        <v>13.1599</v>
      </c>
      <c r="F478" t="s">
        <v>478</v>
      </c>
    </row>
    <row r="479" spans="1:6" x14ac:dyDescent="0.25">
      <c r="A479" t="str">
        <f>"13.99"</f>
        <v>13.99</v>
      </c>
      <c r="B479" t="s">
        <v>479</v>
      </c>
      <c r="C479" t="s">
        <v>7</v>
      </c>
      <c r="D479" t="s">
        <v>11</v>
      </c>
      <c r="E479" t="str">
        <f>"13.99"</f>
        <v>13.99</v>
      </c>
      <c r="F479" t="s">
        <v>479</v>
      </c>
    </row>
    <row r="480" spans="1:6" x14ac:dyDescent="0.25">
      <c r="A480" t="str">
        <f>"13.9999"</f>
        <v>13.9999</v>
      </c>
      <c r="B480" t="s">
        <v>479</v>
      </c>
      <c r="C480" t="s">
        <v>7</v>
      </c>
      <c r="D480" t="s">
        <v>11</v>
      </c>
      <c r="E480" t="str">
        <f>"13.9999"</f>
        <v>13.9999</v>
      </c>
      <c r="F480" t="s">
        <v>479</v>
      </c>
    </row>
    <row r="481" spans="1:6" x14ac:dyDescent="0.25">
      <c r="A481" t="str">
        <f>"14"</f>
        <v>14</v>
      </c>
      <c r="B481" t="s">
        <v>480</v>
      </c>
      <c r="C481" t="s">
        <v>7</v>
      </c>
      <c r="D481" t="s">
        <v>11</v>
      </c>
      <c r="E481" t="str">
        <f>"14"</f>
        <v>14</v>
      </c>
      <c r="F481" t="s">
        <v>480</v>
      </c>
    </row>
    <row r="482" spans="1:6" x14ac:dyDescent="0.25">
      <c r="A482" t="str">
        <f>"14.01"</f>
        <v>14.01</v>
      </c>
      <c r="B482" t="s">
        <v>481</v>
      </c>
      <c r="C482" t="s">
        <v>7</v>
      </c>
      <c r="D482" t="s">
        <v>11</v>
      </c>
      <c r="E482" t="str">
        <f>"14.01"</f>
        <v>14.01</v>
      </c>
      <c r="F482" t="s">
        <v>481</v>
      </c>
    </row>
    <row r="483" spans="1:6" x14ac:dyDescent="0.25">
      <c r="A483" t="str">
        <f>"14.0101"</f>
        <v>14.0101</v>
      </c>
      <c r="B483" t="s">
        <v>481</v>
      </c>
      <c r="C483" t="s">
        <v>7</v>
      </c>
      <c r="D483" t="s">
        <v>11</v>
      </c>
      <c r="E483" t="str">
        <f>"14.0101"</f>
        <v>14.0101</v>
      </c>
      <c r="F483" t="s">
        <v>481</v>
      </c>
    </row>
    <row r="484" spans="1:6" x14ac:dyDescent="0.25">
      <c r="A484" t="str">
        <f>"14.0102"</f>
        <v>14.0102</v>
      </c>
      <c r="B484" t="s">
        <v>482</v>
      </c>
      <c r="C484" t="s">
        <v>7</v>
      </c>
      <c r="D484" t="s">
        <v>11</v>
      </c>
      <c r="E484" t="str">
        <f>"14.0102"</f>
        <v>14.0102</v>
      </c>
      <c r="F484" t="s">
        <v>482</v>
      </c>
    </row>
    <row r="485" spans="1:6" x14ac:dyDescent="0.25">
      <c r="C485" t="s">
        <v>26</v>
      </c>
      <c r="D485" t="s">
        <v>11</v>
      </c>
      <c r="E485" t="str">
        <f>"14.0103"</f>
        <v>14.0103</v>
      </c>
      <c r="F485" t="s">
        <v>483</v>
      </c>
    </row>
    <row r="486" spans="1:6" x14ac:dyDescent="0.25">
      <c r="A486" t="str">
        <f>"14.02"</f>
        <v>14.02</v>
      </c>
      <c r="B486" t="s">
        <v>484</v>
      </c>
      <c r="C486" t="s">
        <v>7</v>
      </c>
      <c r="D486" t="s">
        <v>8</v>
      </c>
      <c r="E486" t="str">
        <f>"14.02"</f>
        <v>14.02</v>
      </c>
      <c r="F486" t="s">
        <v>485</v>
      </c>
    </row>
    <row r="487" spans="1:6" x14ac:dyDescent="0.25">
      <c r="A487" t="str">
        <f>"14.0201"</f>
        <v>14.0201</v>
      </c>
      <c r="B487" t="s">
        <v>486</v>
      </c>
      <c r="C487" t="s">
        <v>7</v>
      </c>
      <c r="D487" t="s">
        <v>8</v>
      </c>
      <c r="E487" t="str">
        <f>"14.0201"</f>
        <v>14.0201</v>
      </c>
      <c r="F487" t="s">
        <v>487</v>
      </c>
    </row>
    <row r="488" spans="1:6" x14ac:dyDescent="0.25">
      <c r="C488" t="s">
        <v>26</v>
      </c>
      <c r="D488" t="s">
        <v>11</v>
      </c>
      <c r="E488" t="str">
        <f>"14.0202"</f>
        <v>14.0202</v>
      </c>
      <c r="F488" t="s">
        <v>488</v>
      </c>
    </row>
    <row r="489" spans="1:6" x14ac:dyDescent="0.25">
      <c r="C489" t="s">
        <v>26</v>
      </c>
      <c r="D489" t="s">
        <v>11</v>
      </c>
      <c r="E489" t="str">
        <f>"14.0299"</f>
        <v>14.0299</v>
      </c>
      <c r="F489" t="s">
        <v>489</v>
      </c>
    </row>
    <row r="490" spans="1:6" x14ac:dyDescent="0.25">
      <c r="A490" t="str">
        <f>"14.03"</f>
        <v>14.03</v>
      </c>
      <c r="B490" t="s">
        <v>490</v>
      </c>
      <c r="C490" t="s">
        <v>7</v>
      </c>
      <c r="D490" t="s">
        <v>11</v>
      </c>
      <c r="E490" t="str">
        <f>"14.03"</f>
        <v>14.03</v>
      </c>
      <c r="F490" t="s">
        <v>490</v>
      </c>
    </row>
    <row r="491" spans="1:6" x14ac:dyDescent="0.25">
      <c r="A491" t="str">
        <f>"14.0301"</f>
        <v>14.0301</v>
      </c>
      <c r="B491" t="s">
        <v>490</v>
      </c>
      <c r="C491" t="s">
        <v>7</v>
      </c>
      <c r="D491" t="s">
        <v>11</v>
      </c>
      <c r="E491" t="str">
        <f>"14.0301"</f>
        <v>14.0301</v>
      </c>
      <c r="F491" t="s">
        <v>490</v>
      </c>
    </row>
    <row r="492" spans="1:6" x14ac:dyDescent="0.25">
      <c r="A492" t="str">
        <f>"14.04"</f>
        <v>14.04</v>
      </c>
      <c r="B492" t="s">
        <v>491</v>
      </c>
      <c r="C492" t="s">
        <v>7</v>
      </c>
      <c r="D492" t="s">
        <v>11</v>
      </c>
      <c r="E492" t="str">
        <f>"14.04"</f>
        <v>14.04</v>
      </c>
      <c r="F492" t="s">
        <v>491</v>
      </c>
    </row>
    <row r="493" spans="1:6" x14ac:dyDescent="0.25">
      <c r="A493" t="str">
        <f>"14.0401"</f>
        <v>14.0401</v>
      </c>
      <c r="B493" t="s">
        <v>491</v>
      </c>
      <c r="C493" t="s">
        <v>7</v>
      </c>
      <c r="D493" t="s">
        <v>11</v>
      </c>
      <c r="E493" t="str">
        <f>"14.0401"</f>
        <v>14.0401</v>
      </c>
      <c r="F493" t="s">
        <v>491</v>
      </c>
    </row>
    <row r="494" spans="1:6" x14ac:dyDescent="0.25">
      <c r="A494" t="str">
        <f>"14.05"</f>
        <v>14.05</v>
      </c>
      <c r="B494" t="s">
        <v>492</v>
      </c>
      <c r="C494" t="s">
        <v>7</v>
      </c>
      <c r="D494" t="s">
        <v>11</v>
      </c>
      <c r="E494" t="str">
        <f>"14.05"</f>
        <v>14.05</v>
      </c>
      <c r="F494" t="s">
        <v>492</v>
      </c>
    </row>
    <row r="495" spans="1:6" x14ac:dyDescent="0.25">
      <c r="A495" t="str">
        <f>"14.0501"</f>
        <v>14.0501</v>
      </c>
      <c r="B495" t="s">
        <v>493</v>
      </c>
      <c r="C495" t="s">
        <v>7</v>
      </c>
      <c r="D495" t="s">
        <v>11</v>
      </c>
      <c r="E495" t="str">
        <f>"14.0501"</f>
        <v>14.0501</v>
      </c>
      <c r="F495" t="s">
        <v>493</v>
      </c>
    </row>
    <row r="496" spans="1:6" x14ac:dyDescent="0.25">
      <c r="A496" t="str">
        <f>"14.06"</f>
        <v>14.06</v>
      </c>
      <c r="B496" t="s">
        <v>494</v>
      </c>
      <c r="C496" t="s">
        <v>7</v>
      </c>
      <c r="D496" t="s">
        <v>11</v>
      </c>
      <c r="E496" t="str">
        <f>"14.06"</f>
        <v>14.06</v>
      </c>
      <c r="F496" t="s">
        <v>494</v>
      </c>
    </row>
    <row r="497" spans="1:6" x14ac:dyDescent="0.25">
      <c r="A497" t="str">
        <f>"14.0601"</f>
        <v>14.0601</v>
      </c>
      <c r="B497" t="s">
        <v>494</v>
      </c>
      <c r="C497" t="s">
        <v>7</v>
      </c>
      <c r="D497" t="s">
        <v>11</v>
      </c>
      <c r="E497" t="str">
        <f>"14.0601"</f>
        <v>14.0601</v>
      </c>
      <c r="F497" t="s">
        <v>494</v>
      </c>
    </row>
    <row r="498" spans="1:6" x14ac:dyDescent="0.25">
      <c r="A498" t="str">
        <f>"14.07"</f>
        <v>14.07</v>
      </c>
      <c r="B498" t="s">
        <v>495</v>
      </c>
      <c r="C498" t="s">
        <v>7</v>
      </c>
      <c r="D498" t="s">
        <v>11</v>
      </c>
      <c r="E498" t="str">
        <f>"14.07"</f>
        <v>14.07</v>
      </c>
      <c r="F498" t="s">
        <v>495</v>
      </c>
    </row>
    <row r="499" spans="1:6" x14ac:dyDescent="0.25">
      <c r="A499" t="str">
        <f>"14.0701"</f>
        <v>14.0701</v>
      </c>
      <c r="B499" t="s">
        <v>495</v>
      </c>
      <c r="C499" t="s">
        <v>7</v>
      </c>
      <c r="D499" t="s">
        <v>11</v>
      </c>
      <c r="E499" t="str">
        <f>"14.0701"</f>
        <v>14.0701</v>
      </c>
      <c r="F499" t="s">
        <v>495</v>
      </c>
    </row>
    <row r="500" spans="1:6" x14ac:dyDescent="0.25">
      <c r="A500" t="str">
        <f>"14.0702"</f>
        <v>14.0702</v>
      </c>
      <c r="B500" t="s">
        <v>496</v>
      </c>
      <c r="C500" t="s">
        <v>7</v>
      </c>
      <c r="D500" t="s">
        <v>11</v>
      </c>
      <c r="E500" t="str">
        <f>"14.0702"</f>
        <v>14.0702</v>
      </c>
      <c r="F500" t="s">
        <v>496</v>
      </c>
    </row>
    <row r="501" spans="1:6" x14ac:dyDescent="0.25">
      <c r="A501" t="str">
        <f>"14.0799"</f>
        <v>14.0799</v>
      </c>
      <c r="B501" t="s">
        <v>497</v>
      </c>
      <c r="C501" t="s">
        <v>7</v>
      </c>
      <c r="D501" t="s">
        <v>11</v>
      </c>
      <c r="E501" t="str">
        <f>"14.0799"</f>
        <v>14.0799</v>
      </c>
      <c r="F501" t="s">
        <v>497</v>
      </c>
    </row>
    <row r="502" spans="1:6" x14ac:dyDescent="0.25">
      <c r="A502" t="str">
        <f>"14.08"</f>
        <v>14.08</v>
      </c>
      <c r="B502" t="s">
        <v>498</v>
      </c>
      <c r="C502" t="s">
        <v>7</v>
      </c>
      <c r="D502" t="s">
        <v>11</v>
      </c>
      <c r="E502" t="str">
        <f>"14.08"</f>
        <v>14.08</v>
      </c>
      <c r="F502" t="s">
        <v>498</v>
      </c>
    </row>
    <row r="503" spans="1:6" x14ac:dyDescent="0.25">
      <c r="A503" t="str">
        <f>"14.0801"</f>
        <v>14.0801</v>
      </c>
      <c r="B503" t="s">
        <v>499</v>
      </c>
      <c r="C503" t="s">
        <v>7</v>
      </c>
      <c r="D503" t="s">
        <v>11</v>
      </c>
      <c r="E503" t="str">
        <f>"14.0801"</f>
        <v>14.0801</v>
      </c>
      <c r="F503" t="s">
        <v>499</v>
      </c>
    </row>
    <row r="504" spans="1:6" x14ac:dyDescent="0.25">
      <c r="A504" t="str">
        <f>"14.0802"</f>
        <v>14.0802</v>
      </c>
      <c r="B504" t="s">
        <v>500</v>
      </c>
      <c r="C504" t="s">
        <v>7</v>
      </c>
      <c r="D504" t="s">
        <v>11</v>
      </c>
      <c r="E504" t="str">
        <f>"14.0802"</f>
        <v>14.0802</v>
      </c>
      <c r="F504" t="s">
        <v>500</v>
      </c>
    </row>
    <row r="505" spans="1:6" x14ac:dyDescent="0.25">
      <c r="A505" t="str">
        <f>"14.0803"</f>
        <v>14.0803</v>
      </c>
      <c r="B505" t="s">
        <v>501</v>
      </c>
      <c r="C505" t="s">
        <v>7</v>
      </c>
      <c r="D505" t="s">
        <v>11</v>
      </c>
      <c r="E505" t="str">
        <f>"14.0803"</f>
        <v>14.0803</v>
      </c>
      <c r="F505" t="s">
        <v>501</v>
      </c>
    </row>
    <row r="506" spans="1:6" x14ac:dyDescent="0.25">
      <c r="A506" t="str">
        <f>"14.0804"</f>
        <v>14.0804</v>
      </c>
      <c r="B506" t="s">
        <v>502</v>
      </c>
      <c r="C506" t="s">
        <v>7</v>
      </c>
      <c r="D506" t="s">
        <v>11</v>
      </c>
      <c r="E506" t="str">
        <f>"14.0804"</f>
        <v>14.0804</v>
      </c>
      <c r="F506" t="s">
        <v>502</v>
      </c>
    </row>
    <row r="507" spans="1:6" x14ac:dyDescent="0.25">
      <c r="A507" t="str">
        <f>"14.0805"</f>
        <v>14.0805</v>
      </c>
      <c r="B507" t="s">
        <v>503</v>
      </c>
      <c r="C507" t="s">
        <v>7</v>
      </c>
      <c r="D507" t="s">
        <v>11</v>
      </c>
      <c r="E507" t="str">
        <f>"14.0805"</f>
        <v>14.0805</v>
      </c>
      <c r="F507" t="s">
        <v>503</v>
      </c>
    </row>
    <row r="508" spans="1:6" x14ac:dyDescent="0.25">
      <c r="A508" t="str">
        <f>"14.0899"</f>
        <v>14.0899</v>
      </c>
      <c r="B508" t="s">
        <v>504</v>
      </c>
      <c r="C508" t="s">
        <v>7</v>
      </c>
      <c r="D508" t="s">
        <v>11</v>
      </c>
      <c r="E508" t="str">
        <f>"14.0899"</f>
        <v>14.0899</v>
      </c>
      <c r="F508" t="s">
        <v>504</v>
      </c>
    </row>
    <row r="509" spans="1:6" x14ac:dyDescent="0.25">
      <c r="A509" t="str">
        <f>"14.09"</f>
        <v>14.09</v>
      </c>
      <c r="B509" t="s">
        <v>505</v>
      </c>
      <c r="C509" t="s">
        <v>7</v>
      </c>
      <c r="D509" t="s">
        <v>11</v>
      </c>
      <c r="E509" t="str">
        <f>"14.09"</f>
        <v>14.09</v>
      </c>
      <c r="F509" t="s">
        <v>505</v>
      </c>
    </row>
    <row r="510" spans="1:6" x14ac:dyDescent="0.25">
      <c r="A510" t="str">
        <f>"14.0901"</f>
        <v>14.0901</v>
      </c>
      <c r="B510" t="s">
        <v>506</v>
      </c>
      <c r="C510" t="s">
        <v>7</v>
      </c>
      <c r="D510" t="s">
        <v>11</v>
      </c>
      <c r="E510" t="str">
        <f>"14.0901"</f>
        <v>14.0901</v>
      </c>
      <c r="F510" t="s">
        <v>506</v>
      </c>
    </row>
    <row r="511" spans="1:6" x14ac:dyDescent="0.25">
      <c r="A511" t="str">
        <f>"14.0902"</f>
        <v>14.0902</v>
      </c>
      <c r="B511" t="s">
        <v>507</v>
      </c>
      <c r="C511" t="s">
        <v>7</v>
      </c>
      <c r="D511" t="s">
        <v>11</v>
      </c>
      <c r="E511" t="str">
        <f>"14.0902"</f>
        <v>14.0902</v>
      </c>
      <c r="F511" t="s">
        <v>507</v>
      </c>
    </row>
    <row r="512" spans="1:6" x14ac:dyDescent="0.25">
      <c r="A512" t="str">
        <f>"14.0903"</f>
        <v>14.0903</v>
      </c>
      <c r="B512" t="s">
        <v>508</v>
      </c>
      <c r="C512" t="s">
        <v>7</v>
      </c>
      <c r="D512" t="s">
        <v>11</v>
      </c>
      <c r="E512" t="str">
        <f>"14.0903"</f>
        <v>14.0903</v>
      </c>
      <c r="F512" t="s">
        <v>508</v>
      </c>
    </row>
    <row r="513" spans="1:6" x14ac:dyDescent="0.25">
      <c r="A513" t="str">
        <f>"14.0999"</f>
        <v>14.0999</v>
      </c>
      <c r="B513" t="s">
        <v>509</v>
      </c>
      <c r="C513" t="s">
        <v>7</v>
      </c>
      <c r="D513" t="s">
        <v>11</v>
      </c>
      <c r="E513" t="str">
        <f>"14.0999"</f>
        <v>14.0999</v>
      </c>
      <c r="F513" t="s">
        <v>509</v>
      </c>
    </row>
    <row r="514" spans="1:6" x14ac:dyDescent="0.25">
      <c r="A514" t="str">
        <f>"14.10"</f>
        <v>14.10</v>
      </c>
      <c r="B514" t="s">
        <v>510</v>
      </c>
      <c r="C514" t="s">
        <v>7</v>
      </c>
      <c r="D514" t="s">
        <v>11</v>
      </c>
      <c r="E514" t="str">
        <f>"14.10"</f>
        <v>14.10</v>
      </c>
      <c r="F514" t="s">
        <v>511</v>
      </c>
    </row>
    <row r="515" spans="1:6" x14ac:dyDescent="0.25">
      <c r="A515" t="str">
        <f>"14.1001"</f>
        <v>14.1001</v>
      </c>
      <c r="B515" t="s">
        <v>512</v>
      </c>
      <c r="C515" t="s">
        <v>7</v>
      </c>
      <c r="D515" t="s">
        <v>11</v>
      </c>
      <c r="E515" t="str">
        <f>"14.1001"</f>
        <v>14.1001</v>
      </c>
      <c r="F515" t="s">
        <v>513</v>
      </c>
    </row>
    <row r="516" spans="1:6" x14ac:dyDescent="0.25">
      <c r="A516" t="str">
        <f>"14.1003"</f>
        <v>14.1003</v>
      </c>
      <c r="B516" t="s">
        <v>514</v>
      </c>
      <c r="C516" t="s">
        <v>7</v>
      </c>
      <c r="D516" t="s">
        <v>11</v>
      </c>
      <c r="E516" t="str">
        <f>"14.1003"</f>
        <v>14.1003</v>
      </c>
      <c r="F516" t="s">
        <v>514</v>
      </c>
    </row>
    <row r="517" spans="1:6" x14ac:dyDescent="0.25">
      <c r="A517" t="str">
        <f>"14.1004"</f>
        <v>14.1004</v>
      </c>
      <c r="B517" t="s">
        <v>515</v>
      </c>
      <c r="C517" t="s">
        <v>7</v>
      </c>
      <c r="D517" t="s">
        <v>11</v>
      </c>
      <c r="E517" t="str">
        <f>"14.1004"</f>
        <v>14.1004</v>
      </c>
      <c r="F517" t="s">
        <v>515</v>
      </c>
    </row>
    <row r="518" spans="1:6" x14ac:dyDescent="0.25">
      <c r="A518" t="str">
        <f>"14.1099"</f>
        <v>14.1099</v>
      </c>
      <c r="B518" t="s">
        <v>516</v>
      </c>
      <c r="C518" t="s">
        <v>7</v>
      </c>
      <c r="D518" t="s">
        <v>11</v>
      </c>
      <c r="E518" t="str">
        <f>"14.1099"</f>
        <v>14.1099</v>
      </c>
      <c r="F518" t="s">
        <v>517</v>
      </c>
    </row>
    <row r="519" spans="1:6" x14ac:dyDescent="0.25">
      <c r="A519" t="str">
        <f>"14.11"</f>
        <v>14.11</v>
      </c>
      <c r="B519" t="s">
        <v>518</v>
      </c>
      <c r="C519" t="s">
        <v>7</v>
      </c>
      <c r="D519" t="s">
        <v>11</v>
      </c>
      <c r="E519" t="str">
        <f>"14.11"</f>
        <v>14.11</v>
      </c>
      <c r="F519" t="s">
        <v>518</v>
      </c>
    </row>
    <row r="520" spans="1:6" x14ac:dyDescent="0.25">
      <c r="A520" t="str">
        <f>"14.1101"</f>
        <v>14.1101</v>
      </c>
      <c r="B520" t="s">
        <v>518</v>
      </c>
      <c r="C520" t="s">
        <v>7</v>
      </c>
      <c r="D520" t="s">
        <v>11</v>
      </c>
      <c r="E520" t="str">
        <f>"14.1101"</f>
        <v>14.1101</v>
      </c>
      <c r="F520" t="s">
        <v>518</v>
      </c>
    </row>
    <row r="521" spans="1:6" x14ac:dyDescent="0.25">
      <c r="A521" t="str">
        <f>"14.12"</f>
        <v>14.12</v>
      </c>
      <c r="B521" t="s">
        <v>519</v>
      </c>
      <c r="C521" t="s">
        <v>7</v>
      </c>
      <c r="D521" t="s">
        <v>11</v>
      </c>
      <c r="E521" t="str">
        <f>"14.12"</f>
        <v>14.12</v>
      </c>
      <c r="F521" t="s">
        <v>519</v>
      </c>
    </row>
    <row r="522" spans="1:6" x14ac:dyDescent="0.25">
      <c r="A522" t="str">
        <f>"14.1201"</f>
        <v>14.1201</v>
      </c>
      <c r="B522" t="s">
        <v>520</v>
      </c>
      <c r="C522" t="s">
        <v>7</v>
      </c>
      <c r="D522" t="s">
        <v>11</v>
      </c>
      <c r="E522" t="str">
        <f>"14.1201"</f>
        <v>14.1201</v>
      </c>
      <c r="F522" t="s">
        <v>520</v>
      </c>
    </row>
    <row r="523" spans="1:6" x14ac:dyDescent="0.25">
      <c r="A523" t="str">
        <f>"14.13"</f>
        <v>14.13</v>
      </c>
      <c r="B523" t="s">
        <v>521</v>
      </c>
      <c r="C523" t="s">
        <v>7</v>
      </c>
      <c r="D523" t="s">
        <v>11</v>
      </c>
      <c r="E523" t="str">
        <f>"14.13"</f>
        <v>14.13</v>
      </c>
      <c r="F523" t="s">
        <v>521</v>
      </c>
    </row>
    <row r="524" spans="1:6" x14ac:dyDescent="0.25">
      <c r="A524" t="str">
        <f>"14.1301"</f>
        <v>14.1301</v>
      </c>
      <c r="B524" t="s">
        <v>521</v>
      </c>
      <c r="C524" t="s">
        <v>7</v>
      </c>
      <c r="D524" t="s">
        <v>8</v>
      </c>
      <c r="E524" t="str">
        <f>"14.1301"</f>
        <v>14.1301</v>
      </c>
      <c r="F524" t="s">
        <v>521</v>
      </c>
    </row>
    <row r="525" spans="1:6" x14ac:dyDescent="0.25">
      <c r="A525" t="str">
        <f>"14.14"</f>
        <v>14.14</v>
      </c>
      <c r="B525" t="s">
        <v>522</v>
      </c>
      <c r="C525" t="s">
        <v>7</v>
      </c>
      <c r="D525" t="s">
        <v>11</v>
      </c>
      <c r="E525" t="str">
        <f>"14.14"</f>
        <v>14.14</v>
      </c>
      <c r="F525" t="s">
        <v>522</v>
      </c>
    </row>
    <row r="526" spans="1:6" x14ac:dyDescent="0.25">
      <c r="A526" t="str">
        <f>"14.1401"</f>
        <v>14.1401</v>
      </c>
      <c r="B526" t="s">
        <v>522</v>
      </c>
      <c r="C526" t="s">
        <v>7</v>
      </c>
      <c r="D526" t="s">
        <v>11</v>
      </c>
      <c r="E526" t="str">
        <f>"14.1401"</f>
        <v>14.1401</v>
      </c>
      <c r="F526" t="s">
        <v>522</v>
      </c>
    </row>
    <row r="527" spans="1:6" x14ac:dyDescent="0.25">
      <c r="A527" t="str">
        <f>"14.18"</f>
        <v>14.18</v>
      </c>
      <c r="B527" t="s">
        <v>523</v>
      </c>
      <c r="C527" t="s">
        <v>7</v>
      </c>
      <c r="D527" t="s">
        <v>8</v>
      </c>
      <c r="E527" t="str">
        <f>"14.18"</f>
        <v>14.18</v>
      </c>
      <c r="F527" t="s">
        <v>524</v>
      </c>
    </row>
    <row r="528" spans="1:6" x14ac:dyDescent="0.25">
      <c r="A528" t="str">
        <f>"14.1801"</f>
        <v>14.1801</v>
      </c>
      <c r="B528" t="s">
        <v>524</v>
      </c>
      <c r="C528" t="s">
        <v>7</v>
      </c>
      <c r="D528" t="s">
        <v>11</v>
      </c>
      <c r="E528" t="str">
        <f>"14.1801"</f>
        <v>14.1801</v>
      </c>
      <c r="F528" t="s">
        <v>524</v>
      </c>
    </row>
    <row r="529" spans="1:6" x14ac:dyDescent="0.25">
      <c r="A529" t="str">
        <f>"14.19"</f>
        <v>14.19</v>
      </c>
      <c r="B529" t="s">
        <v>525</v>
      </c>
      <c r="C529" t="s">
        <v>7</v>
      </c>
      <c r="D529" t="s">
        <v>11</v>
      </c>
      <c r="E529" t="str">
        <f>"14.19"</f>
        <v>14.19</v>
      </c>
      <c r="F529" t="s">
        <v>525</v>
      </c>
    </row>
    <row r="530" spans="1:6" x14ac:dyDescent="0.25">
      <c r="A530" t="str">
        <f>"14.1901"</f>
        <v>14.1901</v>
      </c>
      <c r="B530" t="s">
        <v>525</v>
      </c>
      <c r="C530" t="s">
        <v>7</v>
      </c>
      <c r="D530" t="s">
        <v>11</v>
      </c>
      <c r="E530" t="str">
        <f>"14.1901"</f>
        <v>14.1901</v>
      </c>
      <c r="F530" t="s">
        <v>525</v>
      </c>
    </row>
    <row r="531" spans="1:6" x14ac:dyDescent="0.25">
      <c r="A531" t="str">
        <f>"14.20"</f>
        <v>14.20</v>
      </c>
      <c r="B531" t="s">
        <v>526</v>
      </c>
      <c r="C531" t="s">
        <v>7</v>
      </c>
      <c r="D531" t="s">
        <v>11</v>
      </c>
      <c r="E531" t="str">
        <f>"14.20"</f>
        <v>14.20</v>
      </c>
      <c r="F531" t="s">
        <v>526</v>
      </c>
    </row>
    <row r="532" spans="1:6" x14ac:dyDescent="0.25">
      <c r="A532" t="str">
        <f>"14.2001"</f>
        <v>14.2001</v>
      </c>
      <c r="B532" t="s">
        <v>526</v>
      </c>
      <c r="C532" t="s">
        <v>7</v>
      </c>
      <c r="D532" t="s">
        <v>11</v>
      </c>
      <c r="E532" t="str">
        <f>"14.2001"</f>
        <v>14.2001</v>
      </c>
      <c r="F532" t="s">
        <v>526</v>
      </c>
    </row>
    <row r="533" spans="1:6" x14ac:dyDescent="0.25">
      <c r="A533" t="str">
        <f>"14.21"</f>
        <v>14.21</v>
      </c>
      <c r="B533" t="s">
        <v>527</v>
      </c>
      <c r="C533" t="s">
        <v>7</v>
      </c>
      <c r="D533" t="s">
        <v>11</v>
      </c>
      <c r="E533" t="str">
        <f>"14.21"</f>
        <v>14.21</v>
      </c>
      <c r="F533" t="s">
        <v>527</v>
      </c>
    </row>
    <row r="534" spans="1:6" x14ac:dyDescent="0.25">
      <c r="A534" t="str">
        <f>"14.2101"</f>
        <v>14.2101</v>
      </c>
      <c r="B534" t="s">
        <v>527</v>
      </c>
      <c r="C534" t="s">
        <v>7</v>
      </c>
      <c r="D534" t="s">
        <v>11</v>
      </c>
      <c r="E534" t="str">
        <f>"14.2101"</f>
        <v>14.2101</v>
      </c>
      <c r="F534" t="s">
        <v>527</v>
      </c>
    </row>
    <row r="535" spans="1:6" x14ac:dyDescent="0.25">
      <c r="A535" t="str">
        <f>"14.22"</f>
        <v>14.22</v>
      </c>
      <c r="B535" t="s">
        <v>528</v>
      </c>
      <c r="C535" t="s">
        <v>7</v>
      </c>
      <c r="D535" t="s">
        <v>11</v>
      </c>
      <c r="E535" t="str">
        <f>"14.22"</f>
        <v>14.22</v>
      </c>
      <c r="F535" t="s">
        <v>528</v>
      </c>
    </row>
    <row r="536" spans="1:6" x14ac:dyDescent="0.25">
      <c r="A536" t="str">
        <f>"14.2201"</f>
        <v>14.2201</v>
      </c>
      <c r="B536" t="s">
        <v>528</v>
      </c>
      <c r="C536" t="s">
        <v>7</v>
      </c>
      <c r="D536" t="s">
        <v>11</v>
      </c>
      <c r="E536" t="str">
        <f>"14.2201"</f>
        <v>14.2201</v>
      </c>
      <c r="F536" t="s">
        <v>528</v>
      </c>
    </row>
    <row r="537" spans="1:6" x14ac:dyDescent="0.25">
      <c r="A537" t="str">
        <f>"14.23"</f>
        <v>14.23</v>
      </c>
      <c r="B537" t="s">
        <v>529</v>
      </c>
      <c r="C537" t="s">
        <v>7</v>
      </c>
      <c r="D537" t="s">
        <v>11</v>
      </c>
      <c r="E537" t="str">
        <f>"14.23"</f>
        <v>14.23</v>
      </c>
      <c r="F537" t="s">
        <v>529</v>
      </c>
    </row>
    <row r="538" spans="1:6" x14ac:dyDescent="0.25">
      <c r="A538" t="str">
        <f>"14.2301"</f>
        <v>14.2301</v>
      </c>
      <c r="B538" t="s">
        <v>529</v>
      </c>
      <c r="C538" t="s">
        <v>7</v>
      </c>
      <c r="D538" t="s">
        <v>11</v>
      </c>
      <c r="E538" t="str">
        <f>"14.2301"</f>
        <v>14.2301</v>
      </c>
      <c r="F538" t="s">
        <v>529</v>
      </c>
    </row>
    <row r="539" spans="1:6" x14ac:dyDescent="0.25">
      <c r="A539" t="str">
        <f>"14.24"</f>
        <v>14.24</v>
      </c>
      <c r="B539" t="s">
        <v>530</v>
      </c>
      <c r="C539" t="s">
        <v>7</v>
      </c>
      <c r="D539" t="s">
        <v>11</v>
      </c>
      <c r="E539" t="str">
        <f>"14.24"</f>
        <v>14.24</v>
      </c>
      <c r="F539" t="s">
        <v>530</v>
      </c>
    </row>
    <row r="540" spans="1:6" x14ac:dyDescent="0.25">
      <c r="A540" t="str">
        <f>"14.2401"</f>
        <v>14.2401</v>
      </c>
      <c r="B540" t="s">
        <v>530</v>
      </c>
      <c r="C540" t="s">
        <v>7</v>
      </c>
      <c r="D540" t="s">
        <v>11</v>
      </c>
      <c r="E540" t="str">
        <f>"14.2401"</f>
        <v>14.2401</v>
      </c>
      <c r="F540" t="s">
        <v>530</v>
      </c>
    </row>
    <row r="541" spans="1:6" x14ac:dyDescent="0.25">
      <c r="A541" t="str">
        <f>"14.25"</f>
        <v>14.25</v>
      </c>
      <c r="B541" t="s">
        <v>531</v>
      </c>
      <c r="C541" t="s">
        <v>7</v>
      </c>
      <c r="D541" t="s">
        <v>11</v>
      </c>
      <c r="E541" t="str">
        <f>"14.25"</f>
        <v>14.25</v>
      </c>
      <c r="F541" t="s">
        <v>531</v>
      </c>
    </row>
    <row r="542" spans="1:6" x14ac:dyDescent="0.25">
      <c r="A542" t="str">
        <f>"14.2501"</f>
        <v>14.2501</v>
      </c>
      <c r="B542" t="s">
        <v>531</v>
      </c>
      <c r="C542" t="s">
        <v>7</v>
      </c>
      <c r="D542" t="s">
        <v>11</v>
      </c>
      <c r="E542" t="str">
        <f>"14.2501"</f>
        <v>14.2501</v>
      </c>
      <c r="F542" t="s">
        <v>531</v>
      </c>
    </row>
    <row r="543" spans="1:6" x14ac:dyDescent="0.25">
      <c r="A543" t="str">
        <f>"14.27"</f>
        <v>14.27</v>
      </c>
      <c r="B543" t="s">
        <v>532</v>
      </c>
      <c r="C543" t="s">
        <v>7</v>
      </c>
      <c r="D543" t="s">
        <v>11</v>
      </c>
      <c r="E543" t="str">
        <f>"14.27"</f>
        <v>14.27</v>
      </c>
      <c r="F543" t="s">
        <v>532</v>
      </c>
    </row>
    <row r="544" spans="1:6" x14ac:dyDescent="0.25">
      <c r="A544" t="str">
        <f>"14.2701"</f>
        <v>14.2701</v>
      </c>
      <c r="B544" t="s">
        <v>532</v>
      </c>
      <c r="C544" t="s">
        <v>7</v>
      </c>
      <c r="D544" t="s">
        <v>11</v>
      </c>
      <c r="E544" t="str">
        <f>"14.2701"</f>
        <v>14.2701</v>
      </c>
      <c r="F544" t="s">
        <v>532</v>
      </c>
    </row>
    <row r="545" spans="1:6" x14ac:dyDescent="0.25">
      <c r="A545" t="str">
        <f>"14.28"</f>
        <v>14.28</v>
      </c>
      <c r="B545" t="s">
        <v>533</v>
      </c>
      <c r="C545" t="s">
        <v>7</v>
      </c>
      <c r="D545" t="s">
        <v>11</v>
      </c>
      <c r="E545" t="str">
        <f>"14.28"</f>
        <v>14.28</v>
      </c>
      <c r="F545" t="s">
        <v>533</v>
      </c>
    </row>
    <row r="546" spans="1:6" x14ac:dyDescent="0.25">
      <c r="A546" t="str">
        <f>"14.2801"</f>
        <v>14.2801</v>
      </c>
      <c r="B546" t="s">
        <v>533</v>
      </c>
      <c r="C546" t="s">
        <v>7</v>
      </c>
      <c r="D546" t="s">
        <v>11</v>
      </c>
      <c r="E546" t="str">
        <f>"14.2801"</f>
        <v>14.2801</v>
      </c>
      <c r="F546" t="s">
        <v>533</v>
      </c>
    </row>
    <row r="547" spans="1:6" x14ac:dyDescent="0.25">
      <c r="A547" t="str">
        <f>"14.32"</f>
        <v>14.32</v>
      </c>
      <c r="B547" t="s">
        <v>534</v>
      </c>
      <c r="C547" t="s">
        <v>7</v>
      </c>
      <c r="D547" t="s">
        <v>11</v>
      </c>
      <c r="E547" t="str">
        <f>"14.32"</f>
        <v>14.32</v>
      </c>
      <c r="F547" t="s">
        <v>534</v>
      </c>
    </row>
    <row r="548" spans="1:6" x14ac:dyDescent="0.25">
      <c r="A548" t="str">
        <f>"14.3201"</f>
        <v>14.3201</v>
      </c>
      <c r="B548" t="s">
        <v>534</v>
      </c>
      <c r="C548" t="s">
        <v>7</v>
      </c>
      <c r="D548" t="s">
        <v>11</v>
      </c>
      <c r="E548" t="str">
        <f>"14.3201"</f>
        <v>14.3201</v>
      </c>
      <c r="F548" t="s">
        <v>534</v>
      </c>
    </row>
    <row r="549" spans="1:6" x14ac:dyDescent="0.25">
      <c r="A549" t="str">
        <f>"14.33"</f>
        <v>14.33</v>
      </c>
      <c r="B549" t="s">
        <v>535</v>
      </c>
      <c r="C549" t="s">
        <v>7</v>
      </c>
      <c r="D549" t="s">
        <v>11</v>
      </c>
      <c r="E549" t="str">
        <f>"14.33"</f>
        <v>14.33</v>
      </c>
      <c r="F549" t="s">
        <v>535</v>
      </c>
    </row>
    <row r="550" spans="1:6" x14ac:dyDescent="0.25">
      <c r="A550" t="str">
        <f>"14.3301"</f>
        <v>14.3301</v>
      </c>
      <c r="B550" t="s">
        <v>535</v>
      </c>
      <c r="C550" t="s">
        <v>7</v>
      </c>
      <c r="D550" t="s">
        <v>11</v>
      </c>
      <c r="E550" t="str">
        <f>"14.3301"</f>
        <v>14.3301</v>
      </c>
      <c r="F550" t="s">
        <v>535</v>
      </c>
    </row>
    <row r="551" spans="1:6" x14ac:dyDescent="0.25">
      <c r="A551" t="str">
        <f>"14.34"</f>
        <v>14.34</v>
      </c>
      <c r="B551" t="s">
        <v>536</v>
      </c>
      <c r="C551" t="s">
        <v>7</v>
      </c>
      <c r="D551" t="s">
        <v>11</v>
      </c>
      <c r="E551" t="str">
        <f>"14.34"</f>
        <v>14.34</v>
      </c>
      <c r="F551" t="s">
        <v>536</v>
      </c>
    </row>
    <row r="552" spans="1:6" x14ac:dyDescent="0.25">
      <c r="A552" t="str">
        <f>"14.3401"</f>
        <v>14.3401</v>
      </c>
      <c r="B552" t="s">
        <v>536</v>
      </c>
      <c r="C552" t="s">
        <v>7</v>
      </c>
      <c r="D552" t="s">
        <v>11</v>
      </c>
      <c r="E552" t="str">
        <f>"14.3401"</f>
        <v>14.3401</v>
      </c>
      <c r="F552" t="s">
        <v>536</v>
      </c>
    </row>
    <row r="553" spans="1:6" x14ac:dyDescent="0.25">
      <c r="A553" t="str">
        <f>"14.35"</f>
        <v>14.35</v>
      </c>
      <c r="B553" t="s">
        <v>537</v>
      </c>
      <c r="C553" t="s">
        <v>7</v>
      </c>
      <c r="D553" t="s">
        <v>11</v>
      </c>
      <c r="E553" t="str">
        <f>"14.35"</f>
        <v>14.35</v>
      </c>
      <c r="F553" t="s">
        <v>537</v>
      </c>
    </row>
    <row r="554" spans="1:6" x14ac:dyDescent="0.25">
      <c r="A554" t="str">
        <f>"14.3501"</f>
        <v>14.3501</v>
      </c>
      <c r="B554" t="s">
        <v>537</v>
      </c>
      <c r="C554" t="s">
        <v>7</v>
      </c>
      <c r="D554" t="s">
        <v>11</v>
      </c>
      <c r="E554" t="str">
        <f>"14.3501"</f>
        <v>14.3501</v>
      </c>
      <c r="F554" t="s">
        <v>537</v>
      </c>
    </row>
    <row r="555" spans="1:6" x14ac:dyDescent="0.25">
      <c r="A555" t="str">
        <f>"14.36"</f>
        <v>14.36</v>
      </c>
      <c r="B555" t="s">
        <v>538</v>
      </c>
      <c r="C555" t="s">
        <v>7</v>
      </c>
      <c r="D555" t="s">
        <v>11</v>
      </c>
      <c r="E555" t="str">
        <f>"14.36"</f>
        <v>14.36</v>
      </c>
      <c r="F555" t="s">
        <v>538</v>
      </c>
    </row>
    <row r="556" spans="1:6" x14ac:dyDescent="0.25">
      <c r="A556" t="str">
        <f>"14.3601"</f>
        <v>14.3601</v>
      </c>
      <c r="B556" t="s">
        <v>538</v>
      </c>
      <c r="C556" t="s">
        <v>7</v>
      </c>
      <c r="D556" t="s">
        <v>11</v>
      </c>
      <c r="E556" t="str">
        <f>"14.3601"</f>
        <v>14.3601</v>
      </c>
      <c r="F556" t="s">
        <v>538</v>
      </c>
    </row>
    <row r="557" spans="1:6" x14ac:dyDescent="0.25">
      <c r="A557" t="str">
        <f>"14.37"</f>
        <v>14.37</v>
      </c>
      <c r="B557" t="s">
        <v>539</v>
      </c>
      <c r="C557" t="s">
        <v>7</v>
      </c>
      <c r="D557" t="s">
        <v>11</v>
      </c>
      <c r="E557" t="str">
        <f>"14.37"</f>
        <v>14.37</v>
      </c>
      <c r="F557" t="s">
        <v>539</v>
      </c>
    </row>
    <row r="558" spans="1:6" x14ac:dyDescent="0.25">
      <c r="A558" t="str">
        <f>"14.3701"</f>
        <v>14.3701</v>
      </c>
      <c r="B558" t="s">
        <v>539</v>
      </c>
      <c r="C558" t="s">
        <v>7</v>
      </c>
      <c r="D558" t="s">
        <v>11</v>
      </c>
      <c r="E558" t="str">
        <f>"14.3701"</f>
        <v>14.3701</v>
      </c>
      <c r="F558" t="s">
        <v>539</v>
      </c>
    </row>
    <row r="559" spans="1:6" x14ac:dyDescent="0.25">
      <c r="A559" t="str">
        <f>"14.38"</f>
        <v>14.38</v>
      </c>
      <c r="B559" t="s">
        <v>540</v>
      </c>
      <c r="C559" t="s">
        <v>7</v>
      </c>
      <c r="D559" t="s">
        <v>11</v>
      </c>
      <c r="E559" t="str">
        <f>"14.38"</f>
        <v>14.38</v>
      </c>
      <c r="F559" t="s">
        <v>540</v>
      </c>
    </row>
    <row r="560" spans="1:6" x14ac:dyDescent="0.25">
      <c r="A560" t="str">
        <f>"14.3801"</f>
        <v>14.3801</v>
      </c>
      <c r="B560" t="s">
        <v>540</v>
      </c>
      <c r="C560" t="s">
        <v>7</v>
      </c>
      <c r="D560" t="s">
        <v>11</v>
      </c>
      <c r="E560" t="str">
        <f>"14.3801"</f>
        <v>14.3801</v>
      </c>
      <c r="F560" t="s">
        <v>540</v>
      </c>
    </row>
    <row r="561" spans="1:6" x14ac:dyDescent="0.25">
      <c r="A561" t="str">
        <f>"14.39"</f>
        <v>14.39</v>
      </c>
      <c r="B561" t="s">
        <v>541</v>
      </c>
      <c r="C561" t="s">
        <v>7</v>
      </c>
      <c r="D561" t="s">
        <v>11</v>
      </c>
      <c r="E561" t="str">
        <f>"14.39"</f>
        <v>14.39</v>
      </c>
      <c r="F561" t="s">
        <v>541</v>
      </c>
    </row>
    <row r="562" spans="1:6" x14ac:dyDescent="0.25">
      <c r="A562" t="str">
        <f>"14.3901"</f>
        <v>14.3901</v>
      </c>
      <c r="B562" t="s">
        <v>541</v>
      </c>
      <c r="C562" t="s">
        <v>7</v>
      </c>
      <c r="D562" t="s">
        <v>11</v>
      </c>
      <c r="E562" t="str">
        <f>"14.3901"</f>
        <v>14.3901</v>
      </c>
      <c r="F562" t="s">
        <v>541</v>
      </c>
    </row>
    <row r="563" spans="1:6" x14ac:dyDescent="0.25">
      <c r="A563" t="str">
        <f>"14.40"</f>
        <v>14.40</v>
      </c>
      <c r="B563" t="s">
        <v>542</v>
      </c>
      <c r="C563" t="s">
        <v>7</v>
      </c>
      <c r="D563" t="s">
        <v>11</v>
      </c>
      <c r="E563" t="str">
        <f>"14.40"</f>
        <v>14.40</v>
      </c>
      <c r="F563" t="s">
        <v>542</v>
      </c>
    </row>
    <row r="564" spans="1:6" x14ac:dyDescent="0.25">
      <c r="A564" t="str">
        <f>"14.4001"</f>
        <v>14.4001</v>
      </c>
      <c r="B564" t="s">
        <v>542</v>
      </c>
      <c r="C564" t="s">
        <v>7</v>
      </c>
      <c r="D564" t="s">
        <v>11</v>
      </c>
      <c r="E564" t="str">
        <f>"14.4001"</f>
        <v>14.4001</v>
      </c>
      <c r="F564" t="s">
        <v>542</v>
      </c>
    </row>
    <row r="565" spans="1:6" x14ac:dyDescent="0.25">
      <c r="A565" t="str">
        <f>"14.41"</f>
        <v>14.41</v>
      </c>
      <c r="B565" t="s">
        <v>543</v>
      </c>
      <c r="C565" t="s">
        <v>7</v>
      </c>
      <c r="D565" t="s">
        <v>11</v>
      </c>
      <c r="E565" t="str">
        <f>"14.41"</f>
        <v>14.41</v>
      </c>
      <c r="F565" t="s">
        <v>543</v>
      </c>
    </row>
    <row r="566" spans="1:6" x14ac:dyDescent="0.25">
      <c r="A566" t="str">
        <f>"14.4101"</f>
        <v>14.4101</v>
      </c>
      <c r="B566" t="s">
        <v>543</v>
      </c>
      <c r="C566" t="s">
        <v>7</v>
      </c>
      <c r="D566" t="s">
        <v>11</v>
      </c>
      <c r="E566" t="str">
        <f>"14.4101"</f>
        <v>14.4101</v>
      </c>
      <c r="F566" t="s">
        <v>543</v>
      </c>
    </row>
    <row r="567" spans="1:6" x14ac:dyDescent="0.25">
      <c r="A567" t="str">
        <f>"14.42"</f>
        <v>14.42</v>
      </c>
      <c r="B567" t="s">
        <v>544</v>
      </c>
      <c r="C567" t="s">
        <v>7</v>
      </c>
      <c r="D567" t="s">
        <v>11</v>
      </c>
      <c r="E567" t="str">
        <f>"14.42"</f>
        <v>14.42</v>
      </c>
      <c r="F567" t="s">
        <v>544</v>
      </c>
    </row>
    <row r="568" spans="1:6" x14ac:dyDescent="0.25">
      <c r="A568" t="str">
        <f>"14.4201"</f>
        <v>14.4201</v>
      </c>
      <c r="B568" t="s">
        <v>544</v>
      </c>
      <c r="C568" t="s">
        <v>7</v>
      </c>
      <c r="D568" t="s">
        <v>11</v>
      </c>
      <c r="E568" t="str">
        <f>"14.4201"</f>
        <v>14.4201</v>
      </c>
      <c r="F568" t="s">
        <v>544</v>
      </c>
    </row>
    <row r="569" spans="1:6" x14ac:dyDescent="0.25">
      <c r="A569" t="str">
        <f>"14.43"</f>
        <v>14.43</v>
      </c>
      <c r="B569" t="s">
        <v>545</v>
      </c>
      <c r="C569" t="s">
        <v>7</v>
      </c>
      <c r="D569" t="s">
        <v>11</v>
      </c>
      <c r="E569" t="str">
        <f>"14.43"</f>
        <v>14.43</v>
      </c>
      <c r="F569" t="s">
        <v>545</v>
      </c>
    </row>
    <row r="570" spans="1:6" x14ac:dyDescent="0.25">
      <c r="A570" t="str">
        <f>"14.4301"</f>
        <v>14.4301</v>
      </c>
      <c r="B570" t="s">
        <v>545</v>
      </c>
      <c r="C570" t="s">
        <v>7</v>
      </c>
      <c r="D570" t="s">
        <v>11</v>
      </c>
      <c r="E570" t="str">
        <f>"14.4301"</f>
        <v>14.4301</v>
      </c>
      <c r="F570" t="s">
        <v>545</v>
      </c>
    </row>
    <row r="571" spans="1:6" x14ac:dyDescent="0.25">
      <c r="A571" t="str">
        <f>"14.44"</f>
        <v>14.44</v>
      </c>
      <c r="B571" t="s">
        <v>546</v>
      </c>
      <c r="C571" t="s">
        <v>7</v>
      </c>
      <c r="D571" t="s">
        <v>11</v>
      </c>
      <c r="E571" t="str">
        <f>"14.44"</f>
        <v>14.44</v>
      </c>
      <c r="F571" t="s">
        <v>546</v>
      </c>
    </row>
    <row r="572" spans="1:6" x14ac:dyDescent="0.25">
      <c r="A572" t="str">
        <f>"14.4401"</f>
        <v>14.4401</v>
      </c>
      <c r="B572" t="s">
        <v>546</v>
      </c>
      <c r="C572" t="s">
        <v>7</v>
      </c>
      <c r="D572" t="s">
        <v>11</v>
      </c>
      <c r="E572" t="str">
        <f>"14.4401"</f>
        <v>14.4401</v>
      </c>
      <c r="F572" t="s">
        <v>546</v>
      </c>
    </row>
    <row r="573" spans="1:6" x14ac:dyDescent="0.25">
      <c r="A573" t="str">
        <f>"14.45"</f>
        <v>14.45</v>
      </c>
      <c r="B573" t="s">
        <v>547</v>
      </c>
      <c r="C573" t="s">
        <v>7</v>
      </c>
      <c r="D573" t="s">
        <v>11</v>
      </c>
      <c r="E573" t="str">
        <f>"14.45"</f>
        <v>14.45</v>
      </c>
      <c r="F573" t="s">
        <v>547</v>
      </c>
    </row>
    <row r="574" spans="1:6" x14ac:dyDescent="0.25">
      <c r="A574" t="str">
        <f>"14.4501"</f>
        <v>14.4501</v>
      </c>
      <c r="B574" t="s">
        <v>547</v>
      </c>
      <c r="C574" t="s">
        <v>7</v>
      </c>
      <c r="D574" t="s">
        <v>11</v>
      </c>
      <c r="E574" t="str">
        <f>"14.4501"</f>
        <v>14.4501</v>
      </c>
      <c r="F574" t="s">
        <v>547</v>
      </c>
    </row>
    <row r="575" spans="1:6" x14ac:dyDescent="0.25">
      <c r="C575" t="s">
        <v>26</v>
      </c>
      <c r="D575" t="s">
        <v>11</v>
      </c>
      <c r="E575" t="str">
        <f>"14.47"</f>
        <v>14.47</v>
      </c>
      <c r="F575" t="s">
        <v>548</v>
      </c>
    </row>
    <row r="576" spans="1:6" x14ac:dyDescent="0.25">
      <c r="C576" t="s">
        <v>26</v>
      </c>
      <c r="D576" t="s">
        <v>11</v>
      </c>
      <c r="E576" t="str">
        <f>"14.4701"</f>
        <v>14.4701</v>
      </c>
      <c r="F576" t="s">
        <v>548</v>
      </c>
    </row>
    <row r="577" spans="1:6" x14ac:dyDescent="0.25">
      <c r="C577" t="s">
        <v>26</v>
      </c>
      <c r="D577" t="s">
        <v>11</v>
      </c>
      <c r="E577" t="str">
        <f>"14.48"</f>
        <v>14.48</v>
      </c>
      <c r="F577" t="s">
        <v>549</v>
      </c>
    </row>
    <row r="578" spans="1:6" x14ac:dyDescent="0.25">
      <c r="C578" t="s">
        <v>26</v>
      </c>
      <c r="D578" t="s">
        <v>11</v>
      </c>
      <c r="E578" t="str">
        <f>"14.4801"</f>
        <v>14.4801</v>
      </c>
      <c r="F578" t="s">
        <v>550</v>
      </c>
    </row>
    <row r="579" spans="1:6" x14ac:dyDescent="0.25">
      <c r="C579" t="s">
        <v>26</v>
      </c>
      <c r="D579" t="s">
        <v>11</v>
      </c>
      <c r="E579" t="str">
        <f>"14.4802"</f>
        <v>14.4802</v>
      </c>
      <c r="F579" t="s">
        <v>551</v>
      </c>
    </row>
    <row r="580" spans="1:6" x14ac:dyDescent="0.25">
      <c r="C580" t="s">
        <v>26</v>
      </c>
      <c r="D580" t="s">
        <v>11</v>
      </c>
      <c r="E580" t="str">
        <f>"14.4899"</f>
        <v>14.4899</v>
      </c>
      <c r="F580" t="s">
        <v>552</v>
      </c>
    </row>
    <row r="581" spans="1:6" x14ac:dyDescent="0.25">
      <c r="A581" t="str">
        <f>"14.99"</f>
        <v>14.99</v>
      </c>
      <c r="B581" t="s">
        <v>553</v>
      </c>
      <c r="C581" t="s">
        <v>7</v>
      </c>
      <c r="D581" t="s">
        <v>11</v>
      </c>
      <c r="E581" t="str">
        <f>"14.99"</f>
        <v>14.99</v>
      </c>
      <c r="F581" t="s">
        <v>553</v>
      </c>
    </row>
    <row r="582" spans="1:6" x14ac:dyDescent="0.25">
      <c r="A582" t="str">
        <f>"14.9999"</f>
        <v>14.9999</v>
      </c>
      <c r="B582" t="s">
        <v>553</v>
      </c>
      <c r="C582" t="s">
        <v>7</v>
      </c>
      <c r="D582" t="s">
        <v>11</v>
      </c>
      <c r="E582" t="str">
        <f>"14.9999"</f>
        <v>14.9999</v>
      </c>
      <c r="F582" t="s">
        <v>553</v>
      </c>
    </row>
    <row r="583" spans="1:6" x14ac:dyDescent="0.25">
      <c r="A583" t="str">
        <f>"15"</f>
        <v>15</v>
      </c>
      <c r="B583" t="s">
        <v>554</v>
      </c>
      <c r="C583" t="s">
        <v>7</v>
      </c>
      <c r="D583" t="s">
        <v>8</v>
      </c>
      <c r="E583" t="str">
        <f>"15"</f>
        <v>15</v>
      </c>
      <c r="F583" t="s">
        <v>555</v>
      </c>
    </row>
    <row r="584" spans="1:6" x14ac:dyDescent="0.25">
      <c r="A584" t="str">
        <f>"15.00"</f>
        <v>15.00</v>
      </c>
      <c r="B584" t="s">
        <v>556</v>
      </c>
      <c r="C584" t="s">
        <v>7</v>
      </c>
      <c r="D584" t="s">
        <v>8</v>
      </c>
      <c r="E584" t="str">
        <f>"15.00"</f>
        <v>15.00</v>
      </c>
      <c r="F584" t="s">
        <v>557</v>
      </c>
    </row>
    <row r="585" spans="1:6" x14ac:dyDescent="0.25">
      <c r="A585" t="str">
        <f>"15.0000"</f>
        <v>15.0000</v>
      </c>
      <c r="B585" t="s">
        <v>556</v>
      </c>
      <c r="C585" t="s">
        <v>7</v>
      </c>
      <c r="D585" t="s">
        <v>8</v>
      </c>
      <c r="E585" t="str">
        <f>"15.0000"</f>
        <v>15.0000</v>
      </c>
      <c r="F585" t="s">
        <v>557</v>
      </c>
    </row>
    <row r="586" spans="1:6" x14ac:dyDescent="0.25">
      <c r="C586" t="s">
        <v>26</v>
      </c>
      <c r="D586" t="s">
        <v>11</v>
      </c>
      <c r="E586" t="str">
        <f>"15.0001"</f>
        <v>15.0001</v>
      </c>
      <c r="F586" t="s">
        <v>558</v>
      </c>
    </row>
    <row r="587" spans="1:6" x14ac:dyDescent="0.25">
      <c r="A587" t="str">
        <f>"15.01"</f>
        <v>15.01</v>
      </c>
      <c r="B587" t="s">
        <v>559</v>
      </c>
      <c r="C587" t="s">
        <v>7</v>
      </c>
      <c r="D587" t="s">
        <v>8</v>
      </c>
      <c r="E587" t="str">
        <f>"15.01"</f>
        <v>15.01</v>
      </c>
      <c r="F587" t="s">
        <v>559</v>
      </c>
    </row>
    <row r="588" spans="1:6" x14ac:dyDescent="0.25">
      <c r="A588" t="str">
        <f>"15.0101"</f>
        <v>15.0101</v>
      </c>
      <c r="B588" t="s">
        <v>560</v>
      </c>
      <c r="C588" t="s">
        <v>7</v>
      </c>
      <c r="D588" t="s">
        <v>8</v>
      </c>
      <c r="E588" t="str">
        <f>"15.0101"</f>
        <v>15.0101</v>
      </c>
      <c r="F588" t="s">
        <v>559</v>
      </c>
    </row>
    <row r="589" spans="1:6" x14ac:dyDescent="0.25">
      <c r="A589" t="str">
        <f>"15.02"</f>
        <v>15.02</v>
      </c>
      <c r="B589" t="s">
        <v>561</v>
      </c>
      <c r="C589" t="s">
        <v>7</v>
      </c>
      <c r="D589" t="s">
        <v>8</v>
      </c>
      <c r="E589" t="str">
        <f>"15.02"</f>
        <v>15.02</v>
      </c>
      <c r="F589" t="s">
        <v>561</v>
      </c>
    </row>
    <row r="590" spans="1:6" x14ac:dyDescent="0.25">
      <c r="A590" t="str">
        <f>"15.0201"</f>
        <v>15.0201</v>
      </c>
      <c r="B590" t="s">
        <v>562</v>
      </c>
      <c r="C590" t="s">
        <v>7</v>
      </c>
      <c r="D590" t="s">
        <v>8</v>
      </c>
      <c r="E590" t="str">
        <f>"15.0201"</f>
        <v>15.0201</v>
      </c>
      <c r="F590" t="s">
        <v>561</v>
      </c>
    </row>
    <row r="591" spans="1:6" x14ac:dyDescent="0.25">
      <c r="A591" t="str">
        <f>"15.03"</f>
        <v>15.03</v>
      </c>
      <c r="B591" t="s">
        <v>563</v>
      </c>
      <c r="C591" t="s">
        <v>7</v>
      </c>
      <c r="D591" t="s">
        <v>8</v>
      </c>
      <c r="E591" t="str">
        <f>"15.03"</f>
        <v>15.03</v>
      </c>
      <c r="F591" t="s">
        <v>564</v>
      </c>
    </row>
    <row r="592" spans="1:6" x14ac:dyDescent="0.25">
      <c r="A592" t="str">
        <f>"15.0303"</f>
        <v>15.0303</v>
      </c>
      <c r="B592" t="s">
        <v>565</v>
      </c>
      <c r="C592" t="s">
        <v>7</v>
      </c>
      <c r="D592" t="s">
        <v>8</v>
      </c>
      <c r="E592" t="str">
        <f>"15.0303"</f>
        <v>15.0303</v>
      </c>
      <c r="F592" t="s">
        <v>566</v>
      </c>
    </row>
    <row r="593" spans="1:6" x14ac:dyDescent="0.25">
      <c r="A593" t="str">
        <f>"15.0304"</f>
        <v>15.0304</v>
      </c>
      <c r="B593" t="s">
        <v>567</v>
      </c>
      <c r="C593" t="s">
        <v>7</v>
      </c>
      <c r="D593" t="s">
        <v>8</v>
      </c>
      <c r="E593" t="str">
        <f>"15.0304"</f>
        <v>15.0304</v>
      </c>
      <c r="F593" t="s">
        <v>567</v>
      </c>
    </row>
    <row r="594" spans="1:6" x14ac:dyDescent="0.25">
      <c r="A594" t="str">
        <f>"15.0305"</f>
        <v>15.0305</v>
      </c>
      <c r="B594" t="s">
        <v>568</v>
      </c>
      <c r="C594" t="s">
        <v>7</v>
      </c>
      <c r="D594" t="s">
        <v>8</v>
      </c>
      <c r="E594" t="str">
        <f>"15.0305"</f>
        <v>15.0305</v>
      </c>
      <c r="F594" t="s">
        <v>568</v>
      </c>
    </row>
    <row r="595" spans="1:6" x14ac:dyDescent="0.25">
      <c r="A595" t="str">
        <f>"15.0306"</f>
        <v>15.0306</v>
      </c>
      <c r="B595" t="s">
        <v>569</v>
      </c>
      <c r="C595" t="s">
        <v>7</v>
      </c>
      <c r="D595" t="s">
        <v>8</v>
      </c>
      <c r="E595" t="str">
        <f>"15.0306"</f>
        <v>15.0306</v>
      </c>
      <c r="F595" t="s">
        <v>570</v>
      </c>
    </row>
    <row r="596" spans="1:6" x14ac:dyDescent="0.25">
      <c r="C596" t="s">
        <v>26</v>
      </c>
      <c r="D596" t="s">
        <v>11</v>
      </c>
      <c r="E596" t="str">
        <f>"15.0307"</f>
        <v>15.0307</v>
      </c>
      <c r="F596" t="s">
        <v>571</v>
      </c>
    </row>
    <row r="597" spans="1:6" x14ac:dyDescent="0.25">
      <c r="A597" t="str">
        <f>"15.0399"</f>
        <v>15.0399</v>
      </c>
      <c r="B597" t="s">
        <v>572</v>
      </c>
      <c r="C597" t="s">
        <v>7</v>
      </c>
      <c r="D597" t="s">
        <v>8</v>
      </c>
      <c r="E597" t="str">
        <f>"15.0399"</f>
        <v>15.0399</v>
      </c>
      <c r="F597" t="s">
        <v>573</v>
      </c>
    </row>
    <row r="598" spans="1:6" x14ac:dyDescent="0.25">
      <c r="A598" t="str">
        <f>"15.04"</f>
        <v>15.04</v>
      </c>
      <c r="B598" t="s">
        <v>574</v>
      </c>
      <c r="C598" t="s">
        <v>7</v>
      </c>
      <c r="D598" t="s">
        <v>8</v>
      </c>
      <c r="E598" t="str">
        <f>"15.04"</f>
        <v>15.04</v>
      </c>
      <c r="F598" t="s">
        <v>575</v>
      </c>
    </row>
    <row r="599" spans="1:6" x14ac:dyDescent="0.25">
      <c r="A599" t="str">
        <f>"15.0401"</f>
        <v>15.0401</v>
      </c>
      <c r="B599" t="s">
        <v>576</v>
      </c>
      <c r="C599" t="s">
        <v>7</v>
      </c>
      <c r="D599" t="s">
        <v>11</v>
      </c>
      <c r="E599" t="str">
        <f>"15.0401"</f>
        <v>15.0401</v>
      </c>
      <c r="F599" t="s">
        <v>576</v>
      </c>
    </row>
    <row r="600" spans="1:6" x14ac:dyDescent="0.25">
      <c r="A600" t="str">
        <f>"15.0403"</f>
        <v>15.0403</v>
      </c>
      <c r="B600" t="s">
        <v>577</v>
      </c>
      <c r="C600" t="s">
        <v>7</v>
      </c>
      <c r="D600" t="s">
        <v>8</v>
      </c>
      <c r="E600" t="str">
        <f>"15.0403"</f>
        <v>15.0403</v>
      </c>
      <c r="F600" t="s">
        <v>578</v>
      </c>
    </row>
    <row r="601" spans="1:6" x14ac:dyDescent="0.25">
      <c r="A601" t="str">
        <f>"15.0404"</f>
        <v>15.0404</v>
      </c>
      <c r="B601" t="s">
        <v>579</v>
      </c>
      <c r="C601" t="s">
        <v>7</v>
      </c>
      <c r="D601" t="s">
        <v>11</v>
      </c>
      <c r="E601" t="str">
        <f>"15.0404"</f>
        <v>15.0404</v>
      </c>
      <c r="F601" t="s">
        <v>579</v>
      </c>
    </row>
    <row r="602" spans="1:6" x14ac:dyDescent="0.25">
      <c r="A602" t="str">
        <f>"15.0405"</f>
        <v>15.0405</v>
      </c>
      <c r="B602" t="s">
        <v>580</v>
      </c>
      <c r="C602" t="s">
        <v>7</v>
      </c>
      <c r="D602" t="s">
        <v>11</v>
      </c>
      <c r="E602" t="str">
        <f>"15.0405"</f>
        <v>15.0405</v>
      </c>
      <c r="F602" t="s">
        <v>580</v>
      </c>
    </row>
    <row r="603" spans="1:6" x14ac:dyDescent="0.25">
      <c r="A603" t="str">
        <f>"15.0406"</f>
        <v>15.0406</v>
      </c>
      <c r="B603" t="s">
        <v>581</v>
      </c>
      <c r="C603" t="s">
        <v>7</v>
      </c>
      <c r="D603" t="s">
        <v>11</v>
      </c>
      <c r="E603" t="str">
        <f>"15.0406"</f>
        <v>15.0406</v>
      </c>
      <c r="F603" t="s">
        <v>581</v>
      </c>
    </row>
    <row r="604" spans="1:6" x14ac:dyDescent="0.25">
      <c r="C604" t="s">
        <v>26</v>
      </c>
      <c r="D604" t="s">
        <v>11</v>
      </c>
      <c r="E604" t="str">
        <f>"15.0407"</f>
        <v>15.0407</v>
      </c>
      <c r="F604" t="s">
        <v>582</v>
      </c>
    </row>
    <row r="605" spans="1:6" x14ac:dyDescent="0.25">
      <c r="A605" t="str">
        <f>"15.0499"</f>
        <v>15.0499</v>
      </c>
      <c r="B605" t="s">
        <v>583</v>
      </c>
      <c r="C605" t="s">
        <v>7</v>
      </c>
      <c r="D605" t="s">
        <v>8</v>
      </c>
      <c r="E605" t="str">
        <f>"15.0499"</f>
        <v>15.0499</v>
      </c>
      <c r="F605" t="s">
        <v>584</v>
      </c>
    </row>
    <row r="606" spans="1:6" x14ac:dyDescent="0.25">
      <c r="A606" t="str">
        <f>"15.05"</f>
        <v>15.05</v>
      </c>
      <c r="B606" t="s">
        <v>585</v>
      </c>
      <c r="C606" t="s">
        <v>7</v>
      </c>
      <c r="D606" t="s">
        <v>8</v>
      </c>
      <c r="E606" t="str">
        <f>"15.05"</f>
        <v>15.05</v>
      </c>
      <c r="F606" t="s">
        <v>585</v>
      </c>
    </row>
    <row r="607" spans="1:6" x14ac:dyDescent="0.25">
      <c r="A607" t="str">
        <f>"15.0501"</f>
        <v>15.0501</v>
      </c>
      <c r="B607" t="s">
        <v>586</v>
      </c>
      <c r="C607" t="s">
        <v>7</v>
      </c>
      <c r="D607" t="s">
        <v>11</v>
      </c>
      <c r="E607" t="str">
        <f>"15.0501"</f>
        <v>15.0501</v>
      </c>
      <c r="F607" t="s">
        <v>586</v>
      </c>
    </row>
    <row r="608" spans="1:6" x14ac:dyDescent="0.25">
      <c r="A608" t="str">
        <f>"15.0503"</f>
        <v>15.0503</v>
      </c>
      <c r="B608" t="s">
        <v>587</v>
      </c>
      <c r="C608" t="s">
        <v>38</v>
      </c>
      <c r="D608" t="s">
        <v>8</v>
      </c>
      <c r="E608" t="str">
        <f>"15.1701"</f>
        <v>15.1701</v>
      </c>
      <c r="F608" t="s">
        <v>588</v>
      </c>
    </row>
    <row r="609" spans="1:6" x14ac:dyDescent="0.25">
      <c r="A609" t="str">
        <f>"15.0505"</f>
        <v>15.0505</v>
      </c>
      <c r="B609" t="s">
        <v>589</v>
      </c>
      <c r="C609" t="s">
        <v>38</v>
      </c>
      <c r="D609" t="s">
        <v>11</v>
      </c>
      <c r="E609" t="str">
        <f>"15.1703"</f>
        <v>15.1703</v>
      </c>
      <c r="F609" t="s">
        <v>589</v>
      </c>
    </row>
    <row r="610" spans="1:6" x14ac:dyDescent="0.25">
      <c r="A610" t="str">
        <f>"15.0506"</f>
        <v>15.0506</v>
      </c>
      <c r="B610" t="s">
        <v>590</v>
      </c>
      <c r="C610" t="s">
        <v>7</v>
      </c>
      <c r="D610" t="s">
        <v>11</v>
      </c>
      <c r="E610" t="str">
        <f>"15.0506"</f>
        <v>15.0506</v>
      </c>
      <c r="F610" t="s">
        <v>590</v>
      </c>
    </row>
    <row r="611" spans="1:6" x14ac:dyDescent="0.25">
      <c r="A611" t="str">
        <f>"15.0507"</f>
        <v>15.0507</v>
      </c>
      <c r="B611" t="s">
        <v>591</v>
      </c>
      <c r="C611" t="s">
        <v>7</v>
      </c>
      <c r="D611" t="s">
        <v>8</v>
      </c>
      <c r="E611" t="str">
        <f>"15.0507"</f>
        <v>15.0507</v>
      </c>
      <c r="F611" t="s">
        <v>592</v>
      </c>
    </row>
    <row r="612" spans="1:6" x14ac:dyDescent="0.25">
      <c r="A612" t="str">
        <f>"15.0508"</f>
        <v>15.0508</v>
      </c>
      <c r="B612" t="s">
        <v>593</v>
      </c>
      <c r="C612" t="s">
        <v>7</v>
      </c>
      <c r="D612" t="s">
        <v>11</v>
      </c>
      <c r="E612" t="str">
        <f>"15.0508"</f>
        <v>15.0508</v>
      </c>
      <c r="F612" t="s">
        <v>593</v>
      </c>
    </row>
    <row r="613" spans="1:6" x14ac:dyDescent="0.25">
      <c r="A613" t="str">
        <f>"15.0599"</f>
        <v>15.0599</v>
      </c>
      <c r="B613" t="s">
        <v>594</v>
      </c>
      <c r="C613" t="s">
        <v>7</v>
      </c>
      <c r="D613" t="s">
        <v>8</v>
      </c>
      <c r="E613" t="str">
        <f>"15.0599"</f>
        <v>15.0599</v>
      </c>
      <c r="F613" t="s">
        <v>594</v>
      </c>
    </row>
    <row r="614" spans="1:6" x14ac:dyDescent="0.25">
      <c r="A614" t="str">
        <f>"15.06"</f>
        <v>15.06</v>
      </c>
      <c r="B614" t="s">
        <v>595</v>
      </c>
      <c r="C614" t="s">
        <v>7</v>
      </c>
      <c r="D614" t="s">
        <v>11</v>
      </c>
      <c r="E614" t="str">
        <f>"15.06"</f>
        <v>15.06</v>
      </c>
      <c r="F614" t="s">
        <v>595</v>
      </c>
    </row>
    <row r="615" spans="1:6" x14ac:dyDescent="0.25">
      <c r="A615" t="str">
        <f>"15.0607"</f>
        <v>15.0607</v>
      </c>
      <c r="B615" t="s">
        <v>596</v>
      </c>
      <c r="C615" t="s">
        <v>7</v>
      </c>
      <c r="D615" t="s">
        <v>11</v>
      </c>
      <c r="E615" t="str">
        <f>"15.0607"</f>
        <v>15.0607</v>
      </c>
      <c r="F615" t="s">
        <v>596</v>
      </c>
    </row>
    <row r="616" spans="1:6" x14ac:dyDescent="0.25">
      <c r="A616" t="str">
        <f>"15.0611"</f>
        <v>15.0611</v>
      </c>
      <c r="B616" t="s">
        <v>597</v>
      </c>
      <c r="C616" t="s">
        <v>7</v>
      </c>
      <c r="D616" t="s">
        <v>11</v>
      </c>
      <c r="E616" t="str">
        <f>"15.0611"</f>
        <v>15.0611</v>
      </c>
      <c r="F616" t="s">
        <v>597</v>
      </c>
    </row>
    <row r="617" spans="1:6" x14ac:dyDescent="0.25">
      <c r="A617" t="str">
        <f>"15.0612"</f>
        <v>15.0612</v>
      </c>
      <c r="B617" t="s">
        <v>598</v>
      </c>
      <c r="C617" t="s">
        <v>7</v>
      </c>
      <c r="D617" t="s">
        <v>11</v>
      </c>
      <c r="E617" t="str">
        <f>"15.0612"</f>
        <v>15.0612</v>
      </c>
      <c r="F617" t="s">
        <v>598</v>
      </c>
    </row>
    <row r="618" spans="1:6" x14ac:dyDescent="0.25">
      <c r="A618" t="str">
        <f>"15.0613"</f>
        <v>15.0613</v>
      </c>
      <c r="B618" t="s">
        <v>599</v>
      </c>
      <c r="C618" t="s">
        <v>7</v>
      </c>
      <c r="D618" t="s">
        <v>11</v>
      </c>
      <c r="E618" t="str">
        <f>"15.0613"</f>
        <v>15.0613</v>
      </c>
      <c r="F618" t="s">
        <v>599</v>
      </c>
    </row>
    <row r="619" spans="1:6" x14ac:dyDescent="0.25">
      <c r="A619" t="str">
        <f>"15.0614"</f>
        <v>15.0614</v>
      </c>
      <c r="B619" t="s">
        <v>600</v>
      </c>
      <c r="C619" t="s">
        <v>7</v>
      </c>
      <c r="D619" t="s">
        <v>11</v>
      </c>
      <c r="E619" t="str">
        <f>"15.0614"</f>
        <v>15.0614</v>
      </c>
      <c r="F619" t="s">
        <v>600</v>
      </c>
    </row>
    <row r="620" spans="1:6" x14ac:dyDescent="0.25">
      <c r="A620" t="str">
        <f>"15.0615"</f>
        <v>15.0615</v>
      </c>
      <c r="B620" t="s">
        <v>601</v>
      </c>
      <c r="C620" t="s">
        <v>7</v>
      </c>
      <c r="D620" t="s">
        <v>11</v>
      </c>
      <c r="E620" t="str">
        <f>"15.0615"</f>
        <v>15.0615</v>
      </c>
      <c r="F620" t="s">
        <v>601</v>
      </c>
    </row>
    <row r="621" spans="1:6" x14ac:dyDescent="0.25">
      <c r="A621" t="str">
        <f>"15.0616"</f>
        <v>15.0616</v>
      </c>
      <c r="B621" t="s">
        <v>602</v>
      </c>
      <c r="C621" t="s">
        <v>7</v>
      </c>
      <c r="D621" t="s">
        <v>8</v>
      </c>
      <c r="E621" t="str">
        <f>"15.0616"</f>
        <v>15.0616</v>
      </c>
      <c r="F621" t="s">
        <v>603</v>
      </c>
    </row>
    <row r="622" spans="1:6" x14ac:dyDescent="0.25">
      <c r="C622" t="s">
        <v>26</v>
      </c>
      <c r="D622" t="s">
        <v>11</v>
      </c>
      <c r="E622" t="str">
        <f>"15.0617"</f>
        <v>15.0617</v>
      </c>
      <c r="F622" t="s">
        <v>604</v>
      </c>
    </row>
    <row r="623" spans="1:6" x14ac:dyDescent="0.25">
      <c r="A623" t="str">
        <f>"15.0699"</f>
        <v>15.0699</v>
      </c>
      <c r="B623" t="s">
        <v>605</v>
      </c>
      <c r="C623" t="s">
        <v>7</v>
      </c>
      <c r="D623" t="s">
        <v>8</v>
      </c>
      <c r="E623" t="str">
        <f>"15.0699"</f>
        <v>15.0699</v>
      </c>
      <c r="F623" t="s">
        <v>605</v>
      </c>
    </row>
    <row r="624" spans="1:6" x14ac:dyDescent="0.25">
      <c r="A624" t="str">
        <f>"15.07"</f>
        <v>15.07</v>
      </c>
      <c r="B624" t="s">
        <v>606</v>
      </c>
      <c r="C624" t="s">
        <v>7</v>
      </c>
      <c r="D624" t="s">
        <v>11</v>
      </c>
      <c r="E624" t="str">
        <f>"15.07"</f>
        <v>15.07</v>
      </c>
      <c r="F624" t="s">
        <v>606</v>
      </c>
    </row>
    <row r="625" spans="1:6" x14ac:dyDescent="0.25">
      <c r="A625" t="str">
        <f>"15.0701"</f>
        <v>15.0701</v>
      </c>
      <c r="B625" t="s">
        <v>607</v>
      </c>
      <c r="C625" t="s">
        <v>7</v>
      </c>
      <c r="D625" t="s">
        <v>11</v>
      </c>
      <c r="E625" t="str">
        <f>"15.0701"</f>
        <v>15.0701</v>
      </c>
      <c r="F625" t="s">
        <v>607</v>
      </c>
    </row>
    <row r="626" spans="1:6" x14ac:dyDescent="0.25">
      <c r="A626" t="str">
        <f>"15.0702"</f>
        <v>15.0702</v>
      </c>
      <c r="B626" t="s">
        <v>608</v>
      </c>
      <c r="C626" t="s">
        <v>7</v>
      </c>
      <c r="D626" t="s">
        <v>11</v>
      </c>
      <c r="E626" t="str">
        <f>"15.0702"</f>
        <v>15.0702</v>
      </c>
      <c r="F626" t="s">
        <v>608</v>
      </c>
    </row>
    <row r="627" spans="1:6" x14ac:dyDescent="0.25">
      <c r="A627" t="str">
        <f>"15.0703"</f>
        <v>15.0703</v>
      </c>
      <c r="B627" t="s">
        <v>609</v>
      </c>
      <c r="C627" t="s">
        <v>7</v>
      </c>
      <c r="D627" t="s">
        <v>8</v>
      </c>
      <c r="E627" t="str">
        <f>"15.0703"</f>
        <v>15.0703</v>
      </c>
      <c r="F627" t="s">
        <v>609</v>
      </c>
    </row>
    <row r="628" spans="1:6" x14ac:dyDescent="0.25">
      <c r="A628" t="str">
        <f>"15.0704"</f>
        <v>15.0704</v>
      </c>
      <c r="B628" t="s">
        <v>610</v>
      </c>
      <c r="C628" t="s">
        <v>7</v>
      </c>
      <c r="D628" t="s">
        <v>11</v>
      </c>
      <c r="E628" t="str">
        <f>"15.0704"</f>
        <v>15.0704</v>
      </c>
      <c r="F628" t="s">
        <v>610</v>
      </c>
    </row>
    <row r="629" spans="1:6" x14ac:dyDescent="0.25">
      <c r="C629" t="s">
        <v>26</v>
      </c>
      <c r="D629" t="s">
        <v>11</v>
      </c>
      <c r="E629" t="str">
        <f>"15.0705"</f>
        <v>15.0705</v>
      </c>
      <c r="F629" t="s">
        <v>611</v>
      </c>
    </row>
    <row r="630" spans="1:6" x14ac:dyDescent="0.25">
      <c r="A630" t="str">
        <f>"15.0799"</f>
        <v>15.0799</v>
      </c>
      <c r="B630" t="s">
        <v>612</v>
      </c>
      <c r="C630" t="s">
        <v>7</v>
      </c>
      <c r="D630" t="s">
        <v>11</v>
      </c>
      <c r="E630" t="str">
        <f>"15.0799"</f>
        <v>15.0799</v>
      </c>
      <c r="F630" t="s">
        <v>612</v>
      </c>
    </row>
    <row r="631" spans="1:6" x14ac:dyDescent="0.25">
      <c r="A631" t="str">
        <f>"15.08"</f>
        <v>15.08</v>
      </c>
      <c r="B631" t="s">
        <v>613</v>
      </c>
      <c r="C631" t="s">
        <v>7</v>
      </c>
      <c r="D631" t="s">
        <v>11</v>
      </c>
      <c r="E631" t="str">
        <f>"15.08"</f>
        <v>15.08</v>
      </c>
      <c r="F631" t="s">
        <v>613</v>
      </c>
    </row>
    <row r="632" spans="1:6" x14ac:dyDescent="0.25">
      <c r="A632" t="str">
        <f>"15.0801"</f>
        <v>15.0801</v>
      </c>
      <c r="B632" t="s">
        <v>614</v>
      </c>
      <c r="C632" t="s">
        <v>7</v>
      </c>
      <c r="D632" t="s">
        <v>11</v>
      </c>
      <c r="E632" t="str">
        <f>"15.0801"</f>
        <v>15.0801</v>
      </c>
      <c r="F632" t="s">
        <v>614</v>
      </c>
    </row>
    <row r="633" spans="1:6" x14ac:dyDescent="0.25">
      <c r="A633" t="str">
        <f>"15.0803"</f>
        <v>15.0803</v>
      </c>
      <c r="B633" t="s">
        <v>615</v>
      </c>
      <c r="C633" t="s">
        <v>7</v>
      </c>
      <c r="D633" t="s">
        <v>11</v>
      </c>
      <c r="E633" t="str">
        <f>"15.0803"</f>
        <v>15.0803</v>
      </c>
      <c r="F633" t="s">
        <v>615</v>
      </c>
    </row>
    <row r="634" spans="1:6" x14ac:dyDescent="0.25">
      <c r="A634" t="str">
        <f>"15.0805"</f>
        <v>15.0805</v>
      </c>
      <c r="B634" t="s">
        <v>616</v>
      </c>
      <c r="C634" t="s">
        <v>7</v>
      </c>
      <c r="D634" t="s">
        <v>8</v>
      </c>
      <c r="E634" t="str">
        <f>"15.0805"</f>
        <v>15.0805</v>
      </c>
      <c r="F634" t="s">
        <v>617</v>
      </c>
    </row>
    <row r="635" spans="1:6" x14ac:dyDescent="0.25">
      <c r="C635" t="s">
        <v>26</v>
      </c>
      <c r="D635" t="s">
        <v>11</v>
      </c>
      <c r="E635" t="str">
        <f>"15.0806"</f>
        <v>15.0806</v>
      </c>
      <c r="F635" t="s">
        <v>618</v>
      </c>
    </row>
    <row r="636" spans="1:6" x14ac:dyDescent="0.25">
      <c r="C636" t="s">
        <v>26</v>
      </c>
      <c r="D636" t="s">
        <v>11</v>
      </c>
      <c r="E636" t="str">
        <f>"15.0807"</f>
        <v>15.0807</v>
      </c>
      <c r="F636" t="s">
        <v>619</v>
      </c>
    </row>
    <row r="637" spans="1:6" x14ac:dyDescent="0.25">
      <c r="A637" t="str">
        <f>"15.0899"</f>
        <v>15.0899</v>
      </c>
      <c r="B637" t="s">
        <v>620</v>
      </c>
      <c r="C637" t="s">
        <v>7</v>
      </c>
      <c r="D637" t="s">
        <v>11</v>
      </c>
      <c r="E637" t="str">
        <f>"15.0899"</f>
        <v>15.0899</v>
      </c>
      <c r="F637" t="s">
        <v>620</v>
      </c>
    </row>
    <row r="638" spans="1:6" x14ac:dyDescent="0.25">
      <c r="A638" t="str">
        <f>"15.09"</f>
        <v>15.09</v>
      </c>
      <c r="B638" t="s">
        <v>621</v>
      </c>
      <c r="C638" t="s">
        <v>7</v>
      </c>
      <c r="D638" t="s">
        <v>11</v>
      </c>
      <c r="E638" t="str">
        <f>"15.09"</f>
        <v>15.09</v>
      </c>
      <c r="F638" t="s">
        <v>621</v>
      </c>
    </row>
    <row r="639" spans="1:6" x14ac:dyDescent="0.25">
      <c r="A639" t="str">
        <f>"15.0901"</f>
        <v>15.0901</v>
      </c>
      <c r="B639" t="s">
        <v>622</v>
      </c>
      <c r="C639" t="s">
        <v>7</v>
      </c>
      <c r="D639" t="s">
        <v>11</v>
      </c>
      <c r="E639" t="str">
        <f>"15.0901"</f>
        <v>15.0901</v>
      </c>
      <c r="F639" t="s">
        <v>622</v>
      </c>
    </row>
    <row r="640" spans="1:6" x14ac:dyDescent="0.25">
      <c r="A640" t="str">
        <f>"15.0903"</f>
        <v>15.0903</v>
      </c>
      <c r="B640" t="s">
        <v>623</v>
      </c>
      <c r="C640" t="s">
        <v>7</v>
      </c>
      <c r="D640" t="s">
        <v>11</v>
      </c>
      <c r="E640" t="str">
        <f>"15.0903"</f>
        <v>15.0903</v>
      </c>
      <c r="F640" t="s">
        <v>623</v>
      </c>
    </row>
    <row r="641" spans="1:6" x14ac:dyDescent="0.25">
      <c r="A641" t="str">
        <f>"15.0999"</f>
        <v>15.0999</v>
      </c>
      <c r="B641" t="s">
        <v>624</v>
      </c>
      <c r="C641" t="s">
        <v>7</v>
      </c>
      <c r="D641" t="s">
        <v>11</v>
      </c>
      <c r="E641" t="str">
        <f>"15.0999"</f>
        <v>15.0999</v>
      </c>
      <c r="F641" t="s">
        <v>624</v>
      </c>
    </row>
    <row r="642" spans="1:6" x14ac:dyDescent="0.25">
      <c r="A642" t="str">
        <f>"15.10"</f>
        <v>15.10</v>
      </c>
      <c r="B642" t="s">
        <v>625</v>
      </c>
      <c r="C642" t="s">
        <v>7</v>
      </c>
      <c r="D642" t="s">
        <v>8</v>
      </c>
      <c r="E642" t="str">
        <f>"15.10"</f>
        <v>15.10</v>
      </c>
      <c r="F642" t="s">
        <v>626</v>
      </c>
    </row>
    <row r="643" spans="1:6" x14ac:dyDescent="0.25">
      <c r="A643" t="str">
        <f>"15.1001"</f>
        <v>15.1001</v>
      </c>
      <c r="B643" t="s">
        <v>626</v>
      </c>
      <c r="C643" t="s">
        <v>7</v>
      </c>
      <c r="D643" t="s">
        <v>11</v>
      </c>
      <c r="E643" t="str">
        <f>"15.1001"</f>
        <v>15.1001</v>
      </c>
      <c r="F643" t="s">
        <v>626</v>
      </c>
    </row>
    <row r="644" spans="1:6" x14ac:dyDescent="0.25">
      <c r="A644" t="str">
        <f>"15.11"</f>
        <v>15.11</v>
      </c>
      <c r="B644" t="s">
        <v>627</v>
      </c>
      <c r="C644" t="s">
        <v>7</v>
      </c>
      <c r="D644" t="s">
        <v>8</v>
      </c>
      <c r="E644" t="str">
        <f>"15.11"</f>
        <v>15.11</v>
      </c>
      <c r="F644" t="s">
        <v>628</v>
      </c>
    </row>
    <row r="645" spans="1:6" x14ac:dyDescent="0.25">
      <c r="A645" t="str">
        <f>"15.1102"</f>
        <v>15.1102</v>
      </c>
      <c r="B645" t="s">
        <v>629</v>
      </c>
      <c r="C645" t="s">
        <v>7</v>
      </c>
      <c r="D645" t="s">
        <v>11</v>
      </c>
      <c r="E645" t="str">
        <f>"15.1102"</f>
        <v>15.1102</v>
      </c>
      <c r="F645" t="s">
        <v>629</v>
      </c>
    </row>
    <row r="646" spans="1:6" x14ac:dyDescent="0.25">
      <c r="A646" t="str">
        <f>"15.1103"</f>
        <v>15.1103</v>
      </c>
      <c r="B646" t="s">
        <v>630</v>
      </c>
      <c r="C646" t="s">
        <v>7</v>
      </c>
      <c r="D646" t="s">
        <v>11</v>
      </c>
      <c r="E646" t="str">
        <f>"15.1103"</f>
        <v>15.1103</v>
      </c>
      <c r="F646" t="s">
        <v>630</v>
      </c>
    </row>
    <row r="647" spans="1:6" x14ac:dyDescent="0.25">
      <c r="A647" t="str">
        <f>"15.1199"</f>
        <v>15.1199</v>
      </c>
      <c r="B647" t="s">
        <v>631</v>
      </c>
      <c r="C647" t="s">
        <v>7</v>
      </c>
      <c r="D647" t="s">
        <v>8</v>
      </c>
      <c r="E647" t="str">
        <f>"15.1199"</f>
        <v>15.1199</v>
      </c>
      <c r="F647" t="s">
        <v>632</v>
      </c>
    </row>
    <row r="648" spans="1:6" x14ac:dyDescent="0.25">
      <c r="A648" t="str">
        <f>"15.12"</f>
        <v>15.12</v>
      </c>
      <c r="B648" t="s">
        <v>633</v>
      </c>
      <c r="C648" t="s">
        <v>7</v>
      </c>
      <c r="D648" t="s">
        <v>11</v>
      </c>
      <c r="E648" t="str">
        <f>"15.12"</f>
        <v>15.12</v>
      </c>
      <c r="F648" t="s">
        <v>633</v>
      </c>
    </row>
    <row r="649" spans="1:6" x14ac:dyDescent="0.25">
      <c r="A649" t="str">
        <f>"15.1201"</f>
        <v>15.1201</v>
      </c>
      <c r="B649" t="s">
        <v>634</v>
      </c>
      <c r="C649" t="s">
        <v>7</v>
      </c>
      <c r="D649" t="s">
        <v>11</v>
      </c>
      <c r="E649" t="str">
        <f>"15.1201"</f>
        <v>15.1201</v>
      </c>
      <c r="F649" t="s">
        <v>634</v>
      </c>
    </row>
    <row r="650" spans="1:6" x14ac:dyDescent="0.25">
      <c r="A650" t="str">
        <f>"15.1202"</f>
        <v>15.1202</v>
      </c>
      <c r="B650" t="s">
        <v>635</v>
      </c>
      <c r="C650" t="s">
        <v>7</v>
      </c>
      <c r="D650" t="s">
        <v>8</v>
      </c>
      <c r="E650" t="str">
        <f>"15.1202"</f>
        <v>15.1202</v>
      </c>
      <c r="F650" t="s">
        <v>636</v>
      </c>
    </row>
    <row r="651" spans="1:6" x14ac:dyDescent="0.25">
      <c r="A651" t="str">
        <f>"15.1203"</f>
        <v>15.1203</v>
      </c>
      <c r="B651" t="s">
        <v>637</v>
      </c>
      <c r="C651" t="s">
        <v>7</v>
      </c>
      <c r="D651" t="s">
        <v>11</v>
      </c>
      <c r="E651" t="str">
        <f>"15.1203"</f>
        <v>15.1203</v>
      </c>
      <c r="F651" t="s">
        <v>637</v>
      </c>
    </row>
    <row r="652" spans="1:6" x14ac:dyDescent="0.25">
      <c r="A652" t="str">
        <f>"15.1204"</f>
        <v>15.1204</v>
      </c>
      <c r="B652" t="s">
        <v>638</v>
      </c>
      <c r="C652" t="s">
        <v>7</v>
      </c>
      <c r="D652" t="s">
        <v>11</v>
      </c>
      <c r="E652" t="str">
        <f>"15.1204"</f>
        <v>15.1204</v>
      </c>
      <c r="F652" t="s">
        <v>638</v>
      </c>
    </row>
    <row r="653" spans="1:6" x14ac:dyDescent="0.25">
      <c r="A653" t="str">
        <f>"15.1299"</f>
        <v>15.1299</v>
      </c>
      <c r="B653" t="s">
        <v>639</v>
      </c>
      <c r="C653" t="s">
        <v>7</v>
      </c>
      <c r="D653" t="s">
        <v>11</v>
      </c>
      <c r="E653" t="str">
        <f>"15.1299"</f>
        <v>15.1299</v>
      </c>
      <c r="F653" t="s">
        <v>639</v>
      </c>
    </row>
    <row r="654" spans="1:6" x14ac:dyDescent="0.25">
      <c r="A654" t="str">
        <f>"15.13"</f>
        <v>15.13</v>
      </c>
      <c r="B654" t="s">
        <v>640</v>
      </c>
      <c r="C654" t="s">
        <v>7</v>
      </c>
      <c r="D654" t="s">
        <v>11</v>
      </c>
      <c r="E654" t="str">
        <f>"15.13"</f>
        <v>15.13</v>
      </c>
      <c r="F654" t="s">
        <v>640</v>
      </c>
    </row>
    <row r="655" spans="1:6" x14ac:dyDescent="0.25">
      <c r="A655" t="str">
        <f>"15.1301"</f>
        <v>15.1301</v>
      </c>
      <c r="B655" t="s">
        <v>641</v>
      </c>
      <c r="C655" t="s">
        <v>7</v>
      </c>
      <c r="D655" t="s">
        <v>11</v>
      </c>
      <c r="E655" t="str">
        <f>"15.1301"</f>
        <v>15.1301</v>
      </c>
      <c r="F655" t="s">
        <v>641</v>
      </c>
    </row>
    <row r="656" spans="1:6" x14ac:dyDescent="0.25">
      <c r="A656" t="str">
        <f>"15.1302"</f>
        <v>15.1302</v>
      </c>
      <c r="B656" t="s">
        <v>642</v>
      </c>
      <c r="C656" t="s">
        <v>7</v>
      </c>
      <c r="D656" t="s">
        <v>11</v>
      </c>
      <c r="E656" t="str">
        <f>"15.1302"</f>
        <v>15.1302</v>
      </c>
      <c r="F656" t="s">
        <v>642</v>
      </c>
    </row>
    <row r="657" spans="1:6" x14ac:dyDescent="0.25">
      <c r="A657" t="str">
        <f>"15.1303"</f>
        <v>15.1303</v>
      </c>
      <c r="B657" t="s">
        <v>643</v>
      </c>
      <c r="C657" t="s">
        <v>7</v>
      </c>
      <c r="D657" t="s">
        <v>11</v>
      </c>
      <c r="E657" t="str">
        <f>"15.1303"</f>
        <v>15.1303</v>
      </c>
      <c r="F657" t="s">
        <v>643</v>
      </c>
    </row>
    <row r="658" spans="1:6" x14ac:dyDescent="0.25">
      <c r="A658" t="str">
        <f>"15.1304"</f>
        <v>15.1304</v>
      </c>
      <c r="B658" t="s">
        <v>644</v>
      </c>
      <c r="C658" t="s">
        <v>7</v>
      </c>
      <c r="D658" t="s">
        <v>11</v>
      </c>
      <c r="E658" t="str">
        <f>"15.1304"</f>
        <v>15.1304</v>
      </c>
      <c r="F658" t="s">
        <v>644</v>
      </c>
    </row>
    <row r="659" spans="1:6" x14ac:dyDescent="0.25">
      <c r="A659" t="str">
        <f>"15.1305"</f>
        <v>15.1305</v>
      </c>
      <c r="B659" t="s">
        <v>645</v>
      </c>
      <c r="C659" t="s">
        <v>7</v>
      </c>
      <c r="D659" t="s">
        <v>11</v>
      </c>
      <c r="E659" t="str">
        <f>"15.1305"</f>
        <v>15.1305</v>
      </c>
      <c r="F659" t="s">
        <v>645</v>
      </c>
    </row>
    <row r="660" spans="1:6" x14ac:dyDescent="0.25">
      <c r="A660" t="str">
        <f>"15.1306"</f>
        <v>15.1306</v>
      </c>
      <c r="B660" t="s">
        <v>646</v>
      </c>
      <c r="C660" t="s">
        <v>7</v>
      </c>
      <c r="D660" t="s">
        <v>11</v>
      </c>
      <c r="E660" t="str">
        <f>"15.1306"</f>
        <v>15.1306</v>
      </c>
      <c r="F660" t="s">
        <v>646</v>
      </c>
    </row>
    <row r="661" spans="1:6" x14ac:dyDescent="0.25">
      <c r="C661" t="s">
        <v>26</v>
      </c>
      <c r="D661" t="s">
        <v>11</v>
      </c>
      <c r="E661" t="str">
        <f>"15.1307"</f>
        <v>15.1307</v>
      </c>
      <c r="F661" t="s">
        <v>647</v>
      </c>
    </row>
    <row r="662" spans="1:6" x14ac:dyDescent="0.25">
      <c r="A662" t="str">
        <f>"15.1399"</f>
        <v>15.1399</v>
      </c>
      <c r="B662" t="s">
        <v>648</v>
      </c>
      <c r="C662" t="s">
        <v>7</v>
      </c>
      <c r="D662" t="s">
        <v>11</v>
      </c>
      <c r="E662" t="str">
        <f>"15.1399"</f>
        <v>15.1399</v>
      </c>
      <c r="F662" t="s">
        <v>648</v>
      </c>
    </row>
    <row r="663" spans="1:6" x14ac:dyDescent="0.25">
      <c r="A663" t="str">
        <f>"15.14"</f>
        <v>15.14</v>
      </c>
      <c r="B663" t="s">
        <v>649</v>
      </c>
      <c r="C663" t="s">
        <v>7</v>
      </c>
      <c r="D663" t="s">
        <v>8</v>
      </c>
      <c r="E663" t="str">
        <f>"15.14"</f>
        <v>15.14</v>
      </c>
      <c r="F663" t="s">
        <v>650</v>
      </c>
    </row>
    <row r="664" spans="1:6" x14ac:dyDescent="0.25">
      <c r="A664" t="str">
        <f>"15.1401"</f>
        <v>15.1401</v>
      </c>
      <c r="B664" t="s">
        <v>650</v>
      </c>
      <c r="C664" t="s">
        <v>7</v>
      </c>
      <c r="D664" t="s">
        <v>11</v>
      </c>
      <c r="E664" t="str">
        <f>"15.1401"</f>
        <v>15.1401</v>
      </c>
      <c r="F664" t="s">
        <v>650</v>
      </c>
    </row>
    <row r="665" spans="1:6" x14ac:dyDescent="0.25">
      <c r="A665" t="str">
        <f>"15.15"</f>
        <v>15.15</v>
      </c>
      <c r="B665" t="s">
        <v>651</v>
      </c>
      <c r="C665" t="s">
        <v>7</v>
      </c>
      <c r="D665" t="s">
        <v>11</v>
      </c>
      <c r="E665" t="str">
        <f>"15.15"</f>
        <v>15.15</v>
      </c>
      <c r="F665" t="s">
        <v>651</v>
      </c>
    </row>
    <row r="666" spans="1:6" x14ac:dyDescent="0.25">
      <c r="A666" t="str">
        <f>"15.1501"</f>
        <v>15.1501</v>
      </c>
      <c r="B666" t="s">
        <v>652</v>
      </c>
      <c r="C666" t="s">
        <v>7</v>
      </c>
      <c r="D666" t="s">
        <v>11</v>
      </c>
      <c r="E666" t="str">
        <f>"15.1501"</f>
        <v>15.1501</v>
      </c>
      <c r="F666" t="s">
        <v>652</v>
      </c>
    </row>
    <row r="667" spans="1:6" x14ac:dyDescent="0.25">
      <c r="A667" t="str">
        <f>"15.1502"</f>
        <v>15.1502</v>
      </c>
      <c r="B667" t="s">
        <v>653</v>
      </c>
      <c r="C667" t="s">
        <v>7</v>
      </c>
      <c r="D667" t="s">
        <v>11</v>
      </c>
      <c r="E667" t="str">
        <f>"15.1502"</f>
        <v>15.1502</v>
      </c>
      <c r="F667" t="s">
        <v>653</v>
      </c>
    </row>
    <row r="668" spans="1:6" x14ac:dyDescent="0.25">
      <c r="A668" t="str">
        <f>"15.1503"</f>
        <v>15.1503</v>
      </c>
      <c r="B668" t="s">
        <v>654</v>
      </c>
      <c r="C668" t="s">
        <v>7</v>
      </c>
      <c r="D668" t="s">
        <v>11</v>
      </c>
      <c r="E668" t="str">
        <f>"15.1503"</f>
        <v>15.1503</v>
      </c>
      <c r="F668" t="s">
        <v>654</v>
      </c>
    </row>
    <row r="669" spans="1:6" x14ac:dyDescent="0.25">
      <c r="A669" t="str">
        <f>"15.1599"</f>
        <v>15.1599</v>
      </c>
      <c r="B669" t="s">
        <v>655</v>
      </c>
      <c r="C669" t="s">
        <v>7</v>
      </c>
      <c r="D669" t="s">
        <v>11</v>
      </c>
      <c r="E669" t="str">
        <f>"15.1599"</f>
        <v>15.1599</v>
      </c>
      <c r="F669" t="s">
        <v>655</v>
      </c>
    </row>
    <row r="670" spans="1:6" x14ac:dyDescent="0.25">
      <c r="A670" t="str">
        <f>"15.16"</f>
        <v>15.16</v>
      </c>
      <c r="B670" t="s">
        <v>656</v>
      </c>
      <c r="C670" t="s">
        <v>7</v>
      </c>
      <c r="D670" t="s">
        <v>11</v>
      </c>
      <c r="E670" t="str">
        <f>"15.16"</f>
        <v>15.16</v>
      </c>
      <c r="F670" t="s">
        <v>656</v>
      </c>
    </row>
    <row r="671" spans="1:6" x14ac:dyDescent="0.25">
      <c r="A671" t="str">
        <f>"15.1601"</f>
        <v>15.1601</v>
      </c>
      <c r="B671" t="s">
        <v>656</v>
      </c>
      <c r="C671" t="s">
        <v>7</v>
      </c>
      <c r="D671" t="s">
        <v>11</v>
      </c>
      <c r="E671" t="str">
        <f>"15.1601"</f>
        <v>15.1601</v>
      </c>
      <c r="F671" t="s">
        <v>656</v>
      </c>
    </row>
    <row r="672" spans="1:6" x14ac:dyDescent="0.25">
      <c r="C672" t="s">
        <v>26</v>
      </c>
      <c r="D672" t="s">
        <v>11</v>
      </c>
      <c r="E672" t="str">
        <f>"15.17"</f>
        <v>15.17</v>
      </c>
      <c r="F672" t="s">
        <v>657</v>
      </c>
    </row>
    <row r="673" spans="1:6" x14ac:dyDescent="0.25">
      <c r="C673" t="s">
        <v>26</v>
      </c>
      <c r="D673" t="s">
        <v>11</v>
      </c>
      <c r="E673" t="str">
        <f>"15.1702"</f>
        <v>15.1702</v>
      </c>
      <c r="F673" t="s">
        <v>658</v>
      </c>
    </row>
    <row r="674" spans="1:6" x14ac:dyDescent="0.25">
      <c r="C674" t="s">
        <v>26</v>
      </c>
      <c r="D674" t="s">
        <v>11</v>
      </c>
      <c r="E674" t="str">
        <f>"15.1704"</f>
        <v>15.1704</v>
      </c>
      <c r="F674" t="s">
        <v>659</v>
      </c>
    </row>
    <row r="675" spans="1:6" x14ac:dyDescent="0.25">
      <c r="C675" t="s">
        <v>26</v>
      </c>
      <c r="D675" t="s">
        <v>11</v>
      </c>
      <c r="E675" t="str">
        <f>"15.1705"</f>
        <v>15.1705</v>
      </c>
      <c r="F675" t="s">
        <v>660</v>
      </c>
    </row>
    <row r="676" spans="1:6" x14ac:dyDescent="0.25">
      <c r="C676" t="s">
        <v>26</v>
      </c>
      <c r="D676" t="s">
        <v>11</v>
      </c>
      <c r="E676" t="str">
        <f>"15.1706"</f>
        <v>15.1706</v>
      </c>
      <c r="F676" t="s">
        <v>661</v>
      </c>
    </row>
    <row r="677" spans="1:6" x14ac:dyDescent="0.25">
      <c r="C677" t="s">
        <v>26</v>
      </c>
      <c r="D677" t="s">
        <v>11</v>
      </c>
      <c r="E677" t="str">
        <f>"15.1799"</f>
        <v>15.1799</v>
      </c>
      <c r="F677" t="s">
        <v>662</v>
      </c>
    </row>
    <row r="678" spans="1:6" x14ac:dyDescent="0.25">
      <c r="A678" t="str">
        <f>"15.99"</f>
        <v>15.99</v>
      </c>
      <c r="B678" t="s">
        <v>663</v>
      </c>
      <c r="C678" t="s">
        <v>7</v>
      </c>
      <c r="D678" t="s">
        <v>8</v>
      </c>
      <c r="E678" t="str">
        <f>"15.99"</f>
        <v>15.99</v>
      </c>
      <c r="F678" t="s">
        <v>664</v>
      </c>
    </row>
    <row r="679" spans="1:6" x14ac:dyDescent="0.25">
      <c r="A679" t="str">
        <f>"15.9999"</f>
        <v>15.9999</v>
      </c>
      <c r="B679" t="s">
        <v>665</v>
      </c>
      <c r="C679" t="s">
        <v>7</v>
      </c>
      <c r="D679" t="s">
        <v>8</v>
      </c>
      <c r="E679" t="str">
        <f>"15.9999"</f>
        <v>15.9999</v>
      </c>
      <c r="F679" t="s">
        <v>664</v>
      </c>
    </row>
    <row r="680" spans="1:6" x14ac:dyDescent="0.25">
      <c r="A680" t="str">
        <f>"16"</f>
        <v>16</v>
      </c>
      <c r="B680" t="s">
        <v>666</v>
      </c>
      <c r="C680" t="s">
        <v>7</v>
      </c>
      <c r="D680" t="s">
        <v>11</v>
      </c>
      <c r="E680" t="str">
        <f>"16"</f>
        <v>16</v>
      </c>
      <c r="F680" t="s">
        <v>666</v>
      </c>
    </row>
    <row r="681" spans="1:6" x14ac:dyDescent="0.25">
      <c r="A681" t="str">
        <f>"16.01"</f>
        <v>16.01</v>
      </c>
      <c r="B681" t="s">
        <v>667</v>
      </c>
      <c r="C681" t="s">
        <v>7</v>
      </c>
      <c r="D681" t="s">
        <v>11</v>
      </c>
      <c r="E681" t="str">
        <f>"16.01"</f>
        <v>16.01</v>
      </c>
      <c r="F681" t="s">
        <v>667</v>
      </c>
    </row>
    <row r="682" spans="1:6" x14ac:dyDescent="0.25">
      <c r="A682" t="str">
        <f>"16.0101"</f>
        <v>16.0101</v>
      </c>
      <c r="B682" t="s">
        <v>668</v>
      </c>
      <c r="C682" t="s">
        <v>7</v>
      </c>
      <c r="D682" t="s">
        <v>11</v>
      </c>
      <c r="E682" t="str">
        <f>"16.0101"</f>
        <v>16.0101</v>
      </c>
      <c r="F682" t="s">
        <v>668</v>
      </c>
    </row>
    <row r="683" spans="1:6" x14ac:dyDescent="0.25">
      <c r="A683" t="str">
        <f>"16.0102"</f>
        <v>16.0102</v>
      </c>
      <c r="B683" t="s">
        <v>669</v>
      </c>
      <c r="C683" t="s">
        <v>7</v>
      </c>
      <c r="D683" t="s">
        <v>11</v>
      </c>
      <c r="E683" t="str">
        <f>"16.0102"</f>
        <v>16.0102</v>
      </c>
      <c r="F683" t="s">
        <v>669</v>
      </c>
    </row>
    <row r="684" spans="1:6" x14ac:dyDescent="0.25">
      <c r="A684" t="str">
        <f>"16.0103"</f>
        <v>16.0103</v>
      </c>
      <c r="B684" t="s">
        <v>670</v>
      </c>
      <c r="C684" t="s">
        <v>7</v>
      </c>
      <c r="D684" t="s">
        <v>11</v>
      </c>
      <c r="E684" t="str">
        <f>"16.0103"</f>
        <v>16.0103</v>
      </c>
      <c r="F684" t="s">
        <v>670</v>
      </c>
    </row>
    <row r="685" spans="1:6" x14ac:dyDescent="0.25">
      <c r="A685" t="str">
        <f>"16.0104"</f>
        <v>16.0104</v>
      </c>
      <c r="B685" t="s">
        <v>671</v>
      </c>
      <c r="C685" t="s">
        <v>7</v>
      </c>
      <c r="D685" t="s">
        <v>11</v>
      </c>
      <c r="E685" t="str">
        <f>"16.0104"</f>
        <v>16.0104</v>
      </c>
      <c r="F685" t="s">
        <v>671</v>
      </c>
    </row>
    <row r="686" spans="1:6" x14ac:dyDescent="0.25">
      <c r="A686" t="str">
        <f>"16.0105"</f>
        <v>16.0105</v>
      </c>
      <c r="B686" t="s">
        <v>672</v>
      </c>
      <c r="C686" t="s">
        <v>7</v>
      </c>
      <c r="D686" t="s">
        <v>11</v>
      </c>
      <c r="E686" t="str">
        <f>"16.0105"</f>
        <v>16.0105</v>
      </c>
      <c r="F686" t="s">
        <v>672</v>
      </c>
    </row>
    <row r="687" spans="1:6" x14ac:dyDescent="0.25">
      <c r="A687" t="str">
        <f>"16.0199"</f>
        <v>16.0199</v>
      </c>
      <c r="B687" t="s">
        <v>673</v>
      </c>
      <c r="C687" t="s">
        <v>7</v>
      </c>
      <c r="D687" t="s">
        <v>11</v>
      </c>
      <c r="E687" t="str">
        <f>"16.0199"</f>
        <v>16.0199</v>
      </c>
      <c r="F687" t="s">
        <v>673</v>
      </c>
    </row>
    <row r="688" spans="1:6" x14ac:dyDescent="0.25">
      <c r="A688" t="str">
        <f>"16.02"</f>
        <v>16.02</v>
      </c>
      <c r="B688" t="s">
        <v>674</v>
      </c>
      <c r="C688" t="s">
        <v>7</v>
      </c>
      <c r="D688" t="s">
        <v>11</v>
      </c>
      <c r="E688" t="str">
        <f>"16.02"</f>
        <v>16.02</v>
      </c>
      <c r="F688" t="s">
        <v>674</v>
      </c>
    </row>
    <row r="689" spans="1:6" x14ac:dyDescent="0.25">
      <c r="A689" t="str">
        <f>"16.0201"</f>
        <v>16.0201</v>
      </c>
      <c r="B689" t="s">
        <v>674</v>
      </c>
      <c r="C689" t="s">
        <v>7</v>
      </c>
      <c r="D689" t="s">
        <v>11</v>
      </c>
      <c r="E689" t="str">
        <f>"16.0201"</f>
        <v>16.0201</v>
      </c>
      <c r="F689" t="s">
        <v>674</v>
      </c>
    </row>
    <row r="690" spans="1:6" x14ac:dyDescent="0.25">
      <c r="A690" t="str">
        <f>"16.03"</f>
        <v>16.03</v>
      </c>
      <c r="B690" t="s">
        <v>675</v>
      </c>
      <c r="C690" t="s">
        <v>7</v>
      </c>
      <c r="D690" t="s">
        <v>11</v>
      </c>
      <c r="E690" t="str">
        <f>"16.03"</f>
        <v>16.03</v>
      </c>
      <c r="F690" t="s">
        <v>675</v>
      </c>
    </row>
    <row r="691" spans="1:6" x14ac:dyDescent="0.25">
      <c r="A691" t="str">
        <f>"16.0300"</f>
        <v>16.0300</v>
      </c>
      <c r="B691" t="s">
        <v>676</v>
      </c>
      <c r="C691" t="s">
        <v>7</v>
      </c>
      <c r="D691" t="s">
        <v>11</v>
      </c>
      <c r="E691" t="str">
        <f>"16.0300"</f>
        <v>16.0300</v>
      </c>
      <c r="F691" t="s">
        <v>676</v>
      </c>
    </row>
    <row r="692" spans="1:6" x14ac:dyDescent="0.25">
      <c r="A692" t="str">
        <f>"16.0301"</f>
        <v>16.0301</v>
      </c>
      <c r="B692" t="s">
        <v>677</v>
      </c>
      <c r="C692" t="s">
        <v>7</v>
      </c>
      <c r="D692" t="s">
        <v>11</v>
      </c>
      <c r="E692" t="str">
        <f>"16.0301"</f>
        <v>16.0301</v>
      </c>
      <c r="F692" t="s">
        <v>677</v>
      </c>
    </row>
    <row r="693" spans="1:6" x14ac:dyDescent="0.25">
      <c r="A693" t="str">
        <f>"16.0302"</f>
        <v>16.0302</v>
      </c>
      <c r="B693" t="s">
        <v>678</v>
      </c>
      <c r="C693" t="s">
        <v>7</v>
      </c>
      <c r="D693" t="s">
        <v>11</v>
      </c>
      <c r="E693" t="str">
        <f>"16.0302"</f>
        <v>16.0302</v>
      </c>
      <c r="F693" t="s">
        <v>678</v>
      </c>
    </row>
    <row r="694" spans="1:6" x14ac:dyDescent="0.25">
      <c r="A694" t="str">
        <f>"16.0303"</f>
        <v>16.0303</v>
      </c>
      <c r="B694" t="s">
        <v>679</v>
      </c>
      <c r="C694" t="s">
        <v>7</v>
      </c>
      <c r="D694" t="s">
        <v>11</v>
      </c>
      <c r="E694" t="str">
        <f>"16.0303"</f>
        <v>16.0303</v>
      </c>
      <c r="F694" t="s">
        <v>679</v>
      </c>
    </row>
    <row r="695" spans="1:6" x14ac:dyDescent="0.25">
      <c r="A695" t="str">
        <f>"16.0304"</f>
        <v>16.0304</v>
      </c>
      <c r="B695" t="s">
        <v>680</v>
      </c>
      <c r="C695" t="s">
        <v>7</v>
      </c>
      <c r="D695" t="s">
        <v>11</v>
      </c>
      <c r="E695" t="str">
        <f>"16.0304"</f>
        <v>16.0304</v>
      </c>
      <c r="F695" t="s">
        <v>680</v>
      </c>
    </row>
    <row r="696" spans="1:6" x14ac:dyDescent="0.25">
      <c r="A696" t="str">
        <f>"16.0399"</f>
        <v>16.0399</v>
      </c>
      <c r="B696" t="s">
        <v>681</v>
      </c>
      <c r="C696" t="s">
        <v>7</v>
      </c>
      <c r="D696" t="s">
        <v>11</v>
      </c>
      <c r="E696" t="str">
        <f>"16.0399"</f>
        <v>16.0399</v>
      </c>
      <c r="F696" t="s">
        <v>681</v>
      </c>
    </row>
    <row r="697" spans="1:6" x14ac:dyDescent="0.25">
      <c r="A697" t="str">
        <f>"16.04"</f>
        <v>16.04</v>
      </c>
      <c r="B697" t="s">
        <v>682</v>
      </c>
      <c r="C697" t="s">
        <v>7</v>
      </c>
      <c r="D697" t="s">
        <v>11</v>
      </c>
      <c r="E697" t="str">
        <f>"16.04"</f>
        <v>16.04</v>
      </c>
      <c r="F697" t="s">
        <v>682</v>
      </c>
    </row>
    <row r="698" spans="1:6" x14ac:dyDescent="0.25">
      <c r="A698" t="str">
        <f>"16.0400"</f>
        <v>16.0400</v>
      </c>
      <c r="B698" t="s">
        <v>683</v>
      </c>
      <c r="C698" t="s">
        <v>7</v>
      </c>
      <c r="D698" t="s">
        <v>11</v>
      </c>
      <c r="E698" t="str">
        <f>"16.0400"</f>
        <v>16.0400</v>
      </c>
      <c r="F698" t="s">
        <v>683</v>
      </c>
    </row>
    <row r="699" spans="1:6" x14ac:dyDescent="0.25">
      <c r="A699" t="str">
        <f>"16.0401"</f>
        <v>16.0401</v>
      </c>
      <c r="B699" t="s">
        <v>684</v>
      </c>
      <c r="C699" t="s">
        <v>7</v>
      </c>
      <c r="D699" t="s">
        <v>11</v>
      </c>
      <c r="E699" t="str">
        <f>"16.0401"</f>
        <v>16.0401</v>
      </c>
      <c r="F699" t="s">
        <v>684</v>
      </c>
    </row>
    <row r="700" spans="1:6" x14ac:dyDescent="0.25">
      <c r="A700" t="str">
        <f>"16.0402"</f>
        <v>16.0402</v>
      </c>
      <c r="B700" t="s">
        <v>685</v>
      </c>
      <c r="C700" t="s">
        <v>7</v>
      </c>
      <c r="D700" t="s">
        <v>11</v>
      </c>
      <c r="E700" t="str">
        <f>"16.0402"</f>
        <v>16.0402</v>
      </c>
      <c r="F700" t="s">
        <v>685</v>
      </c>
    </row>
    <row r="701" spans="1:6" x14ac:dyDescent="0.25">
      <c r="A701" t="str">
        <f>"16.0404"</f>
        <v>16.0404</v>
      </c>
      <c r="B701" t="s">
        <v>686</v>
      </c>
      <c r="C701" t="s">
        <v>7</v>
      </c>
      <c r="D701" t="s">
        <v>11</v>
      </c>
      <c r="E701" t="str">
        <f>"16.0404"</f>
        <v>16.0404</v>
      </c>
      <c r="F701" t="s">
        <v>686</v>
      </c>
    </row>
    <row r="702" spans="1:6" x14ac:dyDescent="0.25">
      <c r="A702" t="str">
        <f>"16.0405"</f>
        <v>16.0405</v>
      </c>
      <c r="B702" t="s">
        <v>687</v>
      </c>
      <c r="C702" t="s">
        <v>7</v>
      </c>
      <c r="D702" t="s">
        <v>11</v>
      </c>
      <c r="E702" t="str">
        <f>"16.0405"</f>
        <v>16.0405</v>
      </c>
      <c r="F702" t="s">
        <v>687</v>
      </c>
    </row>
    <row r="703" spans="1:6" x14ac:dyDescent="0.25">
      <c r="A703" t="str">
        <f>"16.0406"</f>
        <v>16.0406</v>
      </c>
      <c r="B703" t="s">
        <v>688</v>
      </c>
      <c r="C703" t="s">
        <v>7</v>
      </c>
      <c r="D703" t="s">
        <v>11</v>
      </c>
      <c r="E703" t="str">
        <f>"16.0406"</f>
        <v>16.0406</v>
      </c>
      <c r="F703" t="s">
        <v>688</v>
      </c>
    </row>
    <row r="704" spans="1:6" x14ac:dyDescent="0.25">
      <c r="A704" t="str">
        <f>"16.0407"</f>
        <v>16.0407</v>
      </c>
      <c r="B704" t="s">
        <v>689</v>
      </c>
      <c r="C704" t="s">
        <v>7</v>
      </c>
      <c r="D704" t="s">
        <v>11</v>
      </c>
      <c r="E704" t="str">
        <f>"16.0407"</f>
        <v>16.0407</v>
      </c>
      <c r="F704" t="s">
        <v>689</v>
      </c>
    </row>
    <row r="705" spans="1:6" x14ac:dyDescent="0.25">
      <c r="A705" t="str">
        <f>"16.0408"</f>
        <v>16.0408</v>
      </c>
      <c r="B705" t="s">
        <v>690</v>
      </c>
      <c r="C705" t="s">
        <v>7</v>
      </c>
      <c r="D705" t="s">
        <v>11</v>
      </c>
      <c r="E705" t="str">
        <f>"16.0408"</f>
        <v>16.0408</v>
      </c>
      <c r="F705" t="s">
        <v>690</v>
      </c>
    </row>
    <row r="706" spans="1:6" x14ac:dyDescent="0.25">
      <c r="A706" t="str">
        <f>"16.0409"</f>
        <v>16.0409</v>
      </c>
      <c r="B706" t="s">
        <v>691</v>
      </c>
      <c r="C706" t="s">
        <v>7</v>
      </c>
      <c r="D706" t="s">
        <v>11</v>
      </c>
      <c r="E706" t="str">
        <f>"16.0409"</f>
        <v>16.0409</v>
      </c>
      <c r="F706" t="s">
        <v>691</v>
      </c>
    </row>
    <row r="707" spans="1:6" x14ac:dyDescent="0.25">
      <c r="A707" t="str">
        <f>"16.0410"</f>
        <v>16.0410</v>
      </c>
      <c r="B707" t="s">
        <v>692</v>
      </c>
      <c r="C707" t="s">
        <v>7</v>
      </c>
      <c r="D707" t="s">
        <v>11</v>
      </c>
      <c r="E707" t="str">
        <f>"16.0410"</f>
        <v>16.0410</v>
      </c>
      <c r="F707" t="s">
        <v>692</v>
      </c>
    </row>
    <row r="708" spans="1:6" x14ac:dyDescent="0.25">
      <c r="A708" t="str">
        <f>"16.0499"</f>
        <v>16.0499</v>
      </c>
      <c r="B708" t="s">
        <v>693</v>
      </c>
      <c r="C708" t="s">
        <v>7</v>
      </c>
      <c r="D708" t="s">
        <v>11</v>
      </c>
      <c r="E708" t="str">
        <f>"16.0499"</f>
        <v>16.0499</v>
      </c>
      <c r="F708" t="s">
        <v>693</v>
      </c>
    </row>
    <row r="709" spans="1:6" x14ac:dyDescent="0.25">
      <c r="A709" t="str">
        <f>"16.05"</f>
        <v>16.05</v>
      </c>
      <c r="B709" t="s">
        <v>694</v>
      </c>
      <c r="C709" t="s">
        <v>7</v>
      </c>
      <c r="D709" t="s">
        <v>11</v>
      </c>
      <c r="E709" t="str">
        <f>"16.05"</f>
        <v>16.05</v>
      </c>
      <c r="F709" t="s">
        <v>694</v>
      </c>
    </row>
    <row r="710" spans="1:6" x14ac:dyDescent="0.25">
      <c r="A710" t="str">
        <f>"16.0500"</f>
        <v>16.0500</v>
      </c>
      <c r="B710" t="s">
        <v>695</v>
      </c>
      <c r="C710" t="s">
        <v>7</v>
      </c>
      <c r="D710" t="s">
        <v>11</v>
      </c>
      <c r="E710" t="str">
        <f>"16.0500"</f>
        <v>16.0500</v>
      </c>
      <c r="F710" t="s">
        <v>695</v>
      </c>
    </row>
    <row r="711" spans="1:6" x14ac:dyDescent="0.25">
      <c r="A711" t="str">
        <f>"16.0501"</f>
        <v>16.0501</v>
      </c>
      <c r="B711" t="s">
        <v>696</v>
      </c>
      <c r="C711" t="s">
        <v>7</v>
      </c>
      <c r="D711" t="s">
        <v>11</v>
      </c>
      <c r="E711" t="str">
        <f>"16.0501"</f>
        <v>16.0501</v>
      </c>
      <c r="F711" t="s">
        <v>696</v>
      </c>
    </row>
    <row r="712" spans="1:6" x14ac:dyDescent="0.25">
      <c r="A712" t="str">
        <f>"16.0502"</f>
        <v>16.0502</v>
      </c>
      <c r="B712" t="s">
        <v>697</v>
      </c>
      <c r="C712" t="s">
        <v>7</v>
      </c>
      <c r="D712" t="s">
        <v>11</v>
      </c>
      <c r="E712" t="str">
        <f>"16.0502"</f>
        <v>16.0502</v>
      </c>
      <c r="F712" t="s">
        <v>697</v>
      </c>
    </row>
    <row r="713" spans="1:6" x14ac:dyDescent="0.25">
      <c r="A713" t="str">
        <f>"16.0503"</f>
        <v>16.0503</v>
      </c>
      <c r="B713" t="s">
        <v>698</v>
      </c>
      <c r="C713" t="s">
        <v>7</v>
      </c>
      <c r="D713" t="s">
        <v>11</v>
      </c>
      <c r="E713" t="str">
        <f>"16.0503"</f>
        <v>16.0503</v>
      </c>
      <c r="F713" t="s">
        <v>698</v>
      </c>
    </row>
    <row r="714" spans="1:6" x14ac:dyDescent="0.25">
      <c r="A714" t="str">
        <f>"16.0504"</f>
        <v>16.0504</v>
      </c>
      <c r="B714" t="s">
        <v>699</v>
      </c>
      <c r="C714" t="s">
        <v>7</v>
      </c>
      <c r="D714" t="s">
        <v>11</v>
      </c>
      <c r="E714" t="str">
        <f>"16.0504"</f>
        <v>16.0504</v>
      </c>
      <c r="F714" t="s">
        <v>699</v>
      </c>
    </row>
    <row r="715" spans="1:6" x14ac:dyDescent="0.25">
      <c r="A715" t="str">
        <f>"16.0505"</f>
        <v>16.0505</v>
      </c>
      <c r="B715" t="s">
        <v>700</v>
      </c>
      <c r="C715" t="s">
        <v>7</v>
      </c>
      <c r="D715" t="s">
        <v>11</v>
      </c>
      <c r="E715" t="str">
        <f>"16.0505"</f>
        <v>16.0505</v>
      </c>
      <c r="F715" t="s">
        <v>700</v>
      </c>
    </row>
    <row r="716" spans="1:6" x14ac:dyDescent="0.25">
      <c r="A716" t="str">
        <f>"16.0506"</f>
        <v>16.0506</v>
      </c>
      <c r="B716" t="s">
        <v>701</v>
      </c>
      <c r="C716" t="s">
        <v>7</v>
      </c>
      <c r="D716" t="s">
        <v>11</v>
      </c>
      <c r="E716" t="str">
        <f>"16.0506"</f>
        <v>16.0506</v>
      </c>
      <c r="F716" t="s">
        <v>701</v>
      </c>
    </row>
    <row r="717" spans="1:6" x14ac:dyDescent="0.25">
      <c r="A717" t="str">
        <f>"16.0599"</f>
        <v>16.0599</v>
      </c>
      <c r="B717" t="s">
        <v>702</v>
      </c>
      <c r="C717" t="s">
        <v>7</v>
      </c>
      <c r="D717" t="s">
        <v>11</v>
      </c>
      <c r="E717" t="str">
        <f>"16.0599"</f>
        <v>16.0599</v>
      </c>
      <c r="F717" t="s">
        <v>702</v>
      </c>
    </row>
    <row r="718" spans="1:6" x14ac:dyDescent="0.25">
      <c r="A718" t="str">
        <f>"16.06"</f>
        <v>16.06</v>
      </c>
      <c r="B718" t="s">
        <v>703</v>
      </c>
      <c r="C718" t="s">
        <v>7</v>
      </c>
      <c r="D718" t="s">
        <v>11</v>
      </c>
      <c r="E718" t="str">
        <f>"16.06"</f>
        <v>16.06</v>
      </c>
      <c r="F718" t="s">
        <v>703</v>
      </c>
    </row>
    <row r="719" spans="1:6" x14ac:dyDescent="0.25">
      <c r="A719" t="str">
        <f>"16.0601"</f>
        <v>16.0601</v>
      </c>
      <c r="B719" t="s">
        <v>703</v>
      </c>
      <c r="C719" t="s">
        <v>7</v>
      </c>
      <c r="D719" t="s">
        <v>11</v>
      </c>
      <c r="E719" t="str">
        <f>"16.0601"</f>
        <v>16.0601</v>
      </c>
      <c r="F719" t="s">
        <v>703</v>
      </c>
    </row>
    <row r="720" spans="1:6" x14ac:dyDescent="0.25">
      <c r="A720" t="str">
        <f>"16.07"</f>
        <v>16.07</v>
      </c>
      <c r="B720" t="s">
        <v>704</v>
      </c>
      <c r="C720" t="s">
        <v>7</v>
      </c>
      <c r="D720" t="s">
        <v>11</v>
      </c>
      <c r="E720" t="str">
        <f>"16.07"</f>
        <v>16.07</v>
      </c>
      <c r="F720" t="s">
        <v>704</v>
      </c>
    </row>
    <row r="721" spans="1:6" x14ac:dyDescent="0.25">
      <c r="A721" t="str">
        <f>"16.0700"</f>
        <v>16.0700</v>
      </c>
      <c r="B721" t="s">
        <v>705</v>
      </c>
      <c r="C721" t="s">
        <v>7</v>
      </c>
      <c r="D721" t="s">
        <v>11</v>
      </c>
      <c r="E721" t="str">
        <f>"16.0700"</f>
        <v>16.0700</v>
      </c>
      <c r="F721" t="s">
        <v>705</v>
      </c>
    </row>
    <row r="722" spans="1:6" x14ac:dyDescent="0.25">
      <c r="A722" t="str">
        <f>"16.0701"</f>
        <v>16.0701</v>
      </c>
      <c r="B722" t="s">
        <v>706</v>
      </c>
      <c r="C722" t="s">
        <v>7</v>
      </c>
      <c r="D722" t="s">
        <v>11</v>
      </c>
      <c r="E722" t="str">
        <f>"16.0701"</f>
        <v>16.0701</v>
      </c>
      <c r="F722" t="s">
        <v>706</v>
      </c>
    </row>
    <row r="723" spans="1:6" x14ac:dyDescent="0.25">
      <c r="A723" t="str">
        <f>"16.0702"</f>
        <v>16.0702</v>
      </c>
      <c r="B723" t="s">
        <v>707</v>
      </c>
      <c r="C723" t="s">
        <v>7</v>
      </c>
      <c r="D723" t="s">
        <v>11</v>
      </c>
      <c r="E723" t="str">
        <f>"16.0702"</f>
        <v>16.0702</v>
      </c>
      <c r="F723" t="s">
        <v>707</v>
      </c>
    </row>
    <row r="724" spans="1:6" x14ac:dyDescent="0.25">
      <c r="A724" t="str">
        <f>"16.0704"</f>
        <v>16.0704</v>
      </c>
      <c r="B724" t="s">
        <v>708</v>
      </c>
      <c r="C724" t="s">
        <v>7</v>
      </c>
      <c r="D724" t="s">
        <v>11</v>
      </c>
      <c r="E724" t="str">
        <f>"16.0704"</f>
        <v>16.0704</v>
      </c>
      <c r="F724" t="s">
        <v>708</v>
      </c>
    </row>
    <row r="725" spans="1:6" x14ac:dyDescent="0.25">
      <c r="A725" t="str">
        <f>"16.0705"</f>
        <v>16.0705</v>
      </c>
      <c r="B725" t="s">
        <v>709</v>
      </c>
      <c r="C725" t="s">
        <v>7</v>
      </c>
      <c r="D725" t="s">
        <v>11</v>
      </c>
      <c r="E725" t="str">
        <f>"16.0705"</f>
        <v>16.0705</v>
      </c>
      <c r="F725" t="s">
        <v>709</v>
      </c>
    </row>
    <row r="726" spans="1:6" x14ac:dyDescent="0.25">
      <c r="A726" t="str">
        <f>"16.0706"</f>
        <v>16.0706</v>
      </c>
      <c r="B726" t="s">
        <v>710</v>
      </c>
      <c r="C726" t="s">
        <v>7</v>
      </c>
      <c r="D726" t="s">
        <v>11</v>
      </c>
      <c r="E726" t="str">
        <f>"16.0706"</f>
        <v>16.0706</v>
      </c>
      <c r="F726" t="s">
        <v>710</v>
      </c>
    </row>
    <row r="727" spans="1:6" x14ac:dyDescent="0.25">
      <c r="A727" t="str">
        <f>"16.0707"</f>
        <v>16.0707</v>
      </c>
      <c r="B727" t="s">
        <v>711</v>
      </c>
      <c r="C727" t="s">
        <v>7</v>
      </c>
      <c r="D727" t="s">
        <v>11</v>
      </c>
      <c r="E727" t="str">
        <f>"16.0707"</f>
        <v>16.0707</v>
      </c>
      <c r="F727" t="s">
        <v>711</v>
      </c>
    </row>
    <row r="728" spans="1:6" x14ac:dyDescent="0.25">
      <c r="A728" t="str">
        <f>"16.0799"</f>
        <v>16.0799</v>
      </c>
      <c r="B728" t="s">
        <v>712</v>
      </c>
      <c r="C728" t="s">
        <v>7</v>
      </c>
      <c r="D728" t="s">
        <v>11</v>
      </c>
      <c r="E728" t="str">
        <f>"16.0799"</f>
        <v>16.0799</v>
      </c>
      <c r="F728" t="s">
        <v>712</v>
      </c>
    </row>
    <row r="729" spans="1:6" x14ac:dyDescent="0.25">
      <c r="A729" t="str">
        <f>"16.08"</f>
        <v>16.08</v>
      </c>
      <c r="B729" t="s">
        <v>713</v>
      </c>
      <c r="C729" t="s">
        <v>7</v>
      </c>
      <c r="D729" t="s">
        <v>11</v>
      </c>
      <c r="E729" t="str">
        <f>"16.08"</f>
        <v>16.08</v>
      </c>
      <c r="F729" t="s">
        <v>713</v>
      </c>
    </row>
    <row r="730" spans="1:6" x14ac:dyDescent="0.25">
      <c r="A730" t="str">
        <f>"16.0801"</f>
        <v>16.0801</v>
      </c>
      <c r="B730" t="s">
        <v>714</v>
      </c>
      <c r="C730" t="s">
        <v>7</v>
      </c>
      <c r="D730" t="s">
        <v>11</v>
      </c>
      <c r="E730" t="str">
        <f>"16.0801"</f>
        <v>16.0801</v>
      </c>
      <c r="F730" t="s">
        <v>714</v>
      </c>
    </row>
    <row r="731" spans="1:6" x14ac:dyDescent="0.25">
      <c r="A731" t="str">
        <f>"16.09"</f>
        <v>16.09</v>
      </c>
      <c r="B731" t="s">
        <v>715</v>
      </c>
      <c r="C731" t="s">
        <v>7</v>
      </c>
      <c r="D731" t="s">
        <v>11</v>
      </c>
      <c r="E731" t="str">
        <f>"16.09"</f>
        <v>16.09</v>
      </c>
      <c r="F731" t="s">
        <v>715</v>
      </c>
    </row>
    <row r="732" spans="1:6" x14ac:dyDescent="0.25">
      <c r="A732" t="str">
        <f>"16.0900"</f>
        <v>16.0900</v>
      </c>
      <c r="B732" t="s">
        <v>716</v>
      </c>
      <c r="C732" t="s">
        <v>7</v>
      </c>
      <c r="D732" t="s">
        <v>11</v>
      </c>
      <c r="E732" t="str">
        <f>"16.0900"</f>
        <v>16.0900</v>
      </c>
      <c r="F732" t="s">
        <v>716</v>
      </c>
    </row>
    <row r="733" spans="1:6" x14ac:dyDescent="0.25">
      <c r="A733" t="str">
        <f>"16.0901"</f>
        <v>16.0901</v>
      </c>
      <c r="B733" t="s">
        <v>717</v>
      </c>
      <c r="C733" t="s">
        <v>7</v>
      </c>
      <c r="D733" t="s">
        <v>11</v>
      </c>
      <c r="E733" t="str">
        <f>"16.0901"</f>
        <v>16.0901</v>
      </c>
      <c r="F733" t="s">
        <v>717</v>
      </c>
    </row>
    <row r="734" spans="1:6" x14ac:dyDescent="0.25">
      <c r="A734" t="str">
        <f>"16.0902"</f>
        <v>16.0902</v>
      </c>
      <c r="B734" t="s">
        <v>718</v>
      </c>
      <c r="C734" t="s">
        <v>7</v>
      </c>
      <c r="D734" t="s">
        <v>11</v>
      </c>
      <c r="E734" t="str">
        <f>"16.0902"</f>
        <v>16.0902</v>
      </c>
      <c r="F734" t="s">
        <v>718</v>
      </c>
    </row>
    <row r="735" spans="1:6" x14ac:dyDescent="0.25">
      <c r="A735" t="str">
        <f>"16.0904"</f>
        <v>16.0904</v>
      </c>
      <c r="B735" t="s">
        <v>719</v>
      </c>
      <c r="C735" t="s">
        <v>7</v>
      </c>
      <c r="D735" t="s">
        <v>11</v>
      </c>
      <c r="E735" t="str">
        <f>"16.0904"</f>
        <v>16.0904</v>
      </c>
      <c r="F735" t="s">
        <v>719</v>
      </c>
    </row>
    <row r="736" spans="1:6" x14ac:dyDescent="0.25">
      <c r="A736" t="str">
        <f>"16.0905"</f>
        <v>16.0905</v>
      </c>
      <c r="B736" t="s">
        <v>720</v>
      </c>
      <c r="C736" t="s">
        <v>7</v>
      </c>
      <c r="D736" t="s">
        <v>11</v>
      </c>
      <c r="E736" t="str">
        <f>"16.0905"</f>
        <v>16.0905</v>
      </c>
      <c r="F736" t="s">
        <v>720</v>
      </c>
    </row>
    <row r="737" spans="1:6" x14ac:dyDescent="0.25">
      <c r="A737" t="str">
        <f>"16.0906"</f>
        <v>16.0906</v>
      </c>
      <c r="B737" t="s">
        <v>721</v>
      </c>
      <c r="C737" t="s">
        <v>7</v>
      </c>
      <c r="D737" t="s">
        <v>11</v>
      </c>
      <c r="E737" t="str">
        <f>"16.0906"</f>
        <v>16.0906</v>
      </c>
      <c r="F737" t="s">
        <v>721</v>
      </c>
    </row>
    <row r="738" spans="1:6" x14ac:dyDescent="0.25">
      <c r="A738" t="str">
        <f>"16.0907"</f>
        <v>16.0907</v>
      </c>
      <c r="B738" t="s">
        <v>722</v>
      </c>
      <c r="C738" t="s">
        <v>7</v>
      </c>
      <c r="D738" t="s">
        <v>11</v>
      </c>
      <c r="E738" t="str">
        <f>"16.0907"</f>
        <v>16.0907</v>
      </c>
      <c r="F738" t="s">
        <v>722</v>
      </c>
    </row>
    <row r="739" spans="1:6" x14ac:dyDescent="0.25">
      <c r="A739" t="str">
        <f>"16.0908"</f>
        <v>16.0908</v>
      </c>
      <c r="B739" t="s">
        <v>723</v>
      </c>
      <c r="C739" t="s">
        <v>7</v>
      </c>
      <c r="D739" t="s">
        <v>11</v>
      </c>
      <c r="E739" t="str">
        <f>"16.0908"</f>
        <v>16.0908</v>
      </c>
      <c r="F739" t="s">
        <v>723</v>
      </c>
    </row>
    <row r="740" spans="1:6" x14ac:dyDescent="0.25">
      <c r="A740" t="str">
        <f>"16.0999"</f>
        <v>16.0999</v>
      </c>
      <c r="B740" t="s">
        <v>724</v>
      </c>
      <c r="C740" t="s">
        <v>7</v>
      </c>
      <c r="D740" t="s">
        <v>11</v>
      </c>
      <c r="E740" t="str">
        <f>"16.0999"</f>
        <v>16.0999</v>
      </c>
      <c r="F740" t="s">
        <v>724</v>
      </c>
    </row>
    <row r="741" spans="1:6" x14ac:dyDescent="0.25">
      <c r="A741" t="str">
        <f>"16.10"</f>
        <v>16.10</v>
      </c>
      <c r="B741" t="s">
        <v>725</v>
      </c>
      <c r="C741" t="s">
        <v>7</v>
      </c>
      <c r="D741" t="s">
        <v>11</v>
      </c>
      <c r="E741" t="str">
        <f>"16.10"</f>
        <v>16.10</v>
      </c>
      <c r="F741" t="s">
        <v>725</v>
      </c>
    </row>
    <row r="742" spans="1:6" x14ac:dyDescent="0.25">
      <c r="A742" t="str">
        <f>"16.1001"</f>
        <v>16.1001</v>
      </c>
      <c r="B742" t="s">
        <v>725</v>
      </c>
      <c r="C742" t="s">
        <v>7</v>
      </c>
      <c r="D742" t="s">
        <v>8</v>
      </c>
      <c r="E742" t="str">
        <f>"16.1001"</f>
        <v>16.1001</v>
      </c>
      <c r="F742" t="s">
        <v>725</v>
      </c>
    </row>
    <row r="743" spans="1:6" x14ac:dyDescent="0.25">
      <c r="A743" t="str">
        <f>"16.11"</f>
        <v>16.11</v>
      </c>
      <c r="B743" t="s">
        <v>726</v>
      </c>
      <c r="C743" t="s">
        <v>7</v>
      </c>
      <c r="D743" t="s">
        <v>11</v>
      </c>
      <c r="E743" t="str">
        <f>"16.11"</f>
        <v>16.11</v>
      </c>
      <c r="F743" t="s">
        <v>726</v>
      </c>
    </row>
    <row r="744" spans="1:6" x14ac:dyDescent="0.25">
      <c r="A744" t="str">
        <f>"16.1100"</f>
        <v>16.1100</v>
      </c>
      <c r="B744" t="s">
        <v>727</v>
      </c>
      <c r="C744" t="s">
        <v>7</v>
      </c>
      <c r="D744" t="s">
        <v>11</v>
      </c>
      <c r="E744" t="str">
        <f>"16.1100"</f>
        <v>16.1100</v>
      </c>
      <c r="F744" t="s">
        <v>727</v>
      </c>
    </row>
    <row r="745" spans="1:6" x14ac:dyDescent="0.25">
      <c r="A745" t="str">
        <f>"16.1101"</f>
        <v>16.1101</v>
      </c>
      <c r="B745" t="s">
        <v>728</v>
      </c>
      <c r="C745" t="s">
        <v>7</v>
      </c>
      <c r="D745" t="s">
        <v>11</v>
      </c>
      <c r="E745" t="str">
        <f>"16.1101"</f>
        <v>16.1101</v>
      </c>
      <c r="F745" t="s">
        <v>728</v>
      </c>
    </row>
    <row r="746" spans="1:6" x14ac:dyDescent="0.25">
      <c r="A746" t="str">
        <f>"16.1102"</f>
        <v>16.1102</v>
      </c>
      <c r="B746" t="s">
        <v>729</v>
      </c>
      <c r="C746" t="s">
        <v>7</v>
      </c>
      <c r="D746" t="s">
        <v>11</v>
      </c>
      <c r="E746" t="str">
        <f>"16.1102"</f>
        <v>16.1102</v>
      </c>
      <c r="F746" t="s">
        <v>729</v>
      </c>
    </row>
    <row r="747" spans="1:6" x14ac:dyDescent="0.25">
      <c r="A747" t="str">
        <f>"16.1103"</f>
        <v>16.1103</v>
      </c>
      <c r="B747" t="s">
        <v>730</v>
      </c>
      <c r="C747" t="s">
        <v>7</v>
      </c>
      <c r="D747" t="s">
        <v>11</v>
      </c>
      <c r="E747" t="str">
        <f>"16.1103"</f>
        <v>16.1103</v>
      </c>
      <c r="F747" t="s">
        <v>730</v>
      </c>
    </row>
    <row r="748" spans="1:6" x14ac:dyDescent="0.25">
      <c r="A748" t="str">
        <f>"16.1199"</f>
        <v>16.1199</v>
      </c>
      <c r="B748" t="s">
        <v>731</v>
      </c>
      <c r="C748" t="s">
        <v>7</v>
      </c>
      <c r="D748" t="s">
        <v>11</v>
      </c>
      <c r="E748" t="str">
        <f>"16.1199"</f>
        <v>16.1199</v>
      </c>
      <c r="F748" t="s">
        <v>731</v>
      </c>
    </row>
    <row r="749" spans="1:6" x14ac:dyDescent="0.25">
      <c r="A749" t="str">
        <f>"16.12"</f>
        <v>16.12</v>
      </c>
      <c r="B749" t="s">
        <v>732</v>
      </c>
      <c r="C749" t="s">
        <v>7</v>
      </c>
      <c r="D749" t="s">
        <v>11</v>
      </c>
      <c r="E749" t="str">
        <f>"16.12"</f>
        <v>16.12</v>
      </c>
      <c r="F749" t="s">
        <v>732</v>
      </c>
    </row>
    <row r="750" spans="1:6" x14ac:dyDescent="0.25">
      <c r="A750" t="str">
        <f>"16.1200"</f>
        <v>16.1200</v>
      </c>
      <c r="B750" t="s">
        <v>733</v>
      </c>
      <c r="C750" t="s">
        <v>7</v>
      </c>
      <c r="D750" t="s">
        <v>11</v>
      </c>
      <c r="E750" t="str">
        <f>"16.1200"</f>
        <v>16.1200</v>
      </c>
      <c r="F750" t="s">
        <v>733</v>
      </c>
    </row>
    <row r="751" spans="1:6" x14ac:dyDescent="0.25">
      <c r="A751" t="str">
        <f>"16.1202"</f>
        <v>16.1202</v>
      </c>
      <c r="B751" t="s">
        <v>734</v>
      </c>
      <c r="C751" t="s">
        <v>7</v>
      </c>
      <c r="D751" t="s">
        <v>11</v>
      </c>
      <c r="E751" t="str">
        <f>"16.1202"</f>
        <v>16.1202</v>
      </c>
      <c r="F751" t="s">
        <v>734</v>
      </c>
    </row>
    <row r="752" spans="1:6" x14ac:dyDescent="0.25">
      <c r="A752" t="str">
        <f>"16.1203"</f>
        <v>16.1203</v>
      </c>
      <c r="B752" t="s">
        <v>735</v>
      </c>
      <c r="C752" t="s">
        <v>7</v>
      </c>
      <c r="D752" t="s">
        <v>11</v>
      </c>
      <c r="E752" t="str">
        <f>"16.1203"</f>
        <v>16.1203</v>
      </c>
      <c r="F752" t="s">
        <v>735</v>
      </c>
    </row>
    <row r="753" spans="1:6" x14ac:dyDescent="0.25">
      <c r="A753" t="str">
        <f>"16.1299"</f>
        <v>16.1299</v>
      </c>
      <c r="B753" t="s">
        <v>736</v>
      </c>
      <c r="C753" t="s">
        <v>7</v>
      </c>
      <c r="D753" t="s">
        <v>11</v>
      </c>
      <c r="E753" t="str">
        <f>"16.1299"</f>
        <v>16.1299</v>
      </c>
      <c r="F753" t="s">
        <v>736</v>
      </c>
    </row>
    <row r="754" spans="1:6" x14ac:dyDescent="0.25">
      <c r="A754" t="str">
        <f>"16.13"</f>
        <v>16.13</v>
      </c>
      <c r="B754" t="s">
        <v>737</v>
      </c>
      <c r="C754" t="s">
        <v>7</v>
      </c>
      <c r="D754" t="s">
        <v>11</v>
      </c>
      <c r="E754" t="str">
        <f>"16.13"</f>
        <v>16.13</v>
      </c>
      <c r="F754" t="s">
        <v>737</v>
      </c>
    </row>
    <row r="755" spans="1:6" x14ac:dyDescent="0.25">
      <c r="A755" t="str">
        <f>"16.1301"</f>
        <v>16.1301</v>
      </c>
      <c r="B755" t="s">
        <v>737</v>
      </c>
      <c r="C755" t="s">
        <v>7</v>
      </c>
      <c r="D755" t="s">
        <v>11</v>
      </c>
      <c r="E755" t="str">
        <f>"16.1301"</f>
        <v>16.1301</v>
      </c>
      <c r="F755" t="s">
        <v>737</v>
      </c>
    </row>
    <row r="756" spans="1:6" x14ac:dyDescent="0.25">
      <c r="A756" t="str">
        <f>"16.14"</f>
        <v>16.14</v>
      </c>
      <c r="B756" t="s">
        <v>738</v>
      </c>
      <c r="C756" t="s">
        <v>7</v>
      </c>
      <c r="D756" t="s">
        <v>11</v>
      </c>
      <c r="E756" t="str">
        <f>"16.14"</f>
        <v>16.14</v>
      </c>
      <c r="F756" t="s">
        <v>738</v>
      </c>
    </row>
    <row r="757" spans="1:6" x14ac:dyDescent="0.25">
      <c r="A757" t="str">
        <f>"16.1400"</f>
        <v>16.1400</v>
      </c>
      <c r="B757" t="s">
        <v>739</v>
      </c>
      <c r="C757" t="s">
        <v>7</v>
      </c>
      <c r="D757" t="s">
        <v>11</v>
      </c>
      <c r="E757" t="str">
        <f>"16.1400"</f>
        <v>16.1400</v>
      </c>
      <c r="F757" t="s">
        <v>739</v>
      </c>
    </row>
    <row r="758" spans="1:6" x14ac:dyDescent="0.25">
      <c r="A758" t="str">
        <f>"16.1401"</f>
        <v>16.1401</v>
      </c>
      <c r="B758" t="s">
        <v>740</v>
      </c>
      <c r="C758" t="s">
        <v>7</v>
      </c>
      <c r="D758" t="s">
        <v>11</v>
      </c>
      <c r="E758" t="str">
        <f>"16.1401"</f>
        <v>16.1401</v>
      </c>
      <c r="F758" t="s">
        <v>740</v>
      </c>
    </row>
    <row r="759" spans="1:6" x14ac:dyDescent="0.25">
      <c r="A759" t="str">
        <f>"16.1402"</f>
        <v>16.1402</v>
      </c>
      <c r="B759" t="s">
        <v>741</v>
      </c>
      <c r="C759" t="s">
        <v>7</v>
      </c>
      <c r="D759" t="s">
        <v>11</v>
      </c>
      <c r="E759" t="str">
        <f>"16.1402"</f>
        <v>16.1402</v>
      </c>
      <c r="F759" t="s">
        <v>741</v>
      </c>
    </row>
    <row r="760" spans="1:6" x14ac:dyDescent="0.25">
      <c r="A760" t="str">
        <f>"16.1403"</f>
        <v>16.1403</v>
      </c>
      <c r="B760" t="s">
        <v>742</v>
      </c>
      <c r="C760" t="s">
        <v>7</v>
      </c>
      <c r="D760" t="s">
        <v>11</v>
      </c>
      <c r="E760" t="str">
        <f>"16.1403"</f>
        <v>16.1403</v>
      </c>
      <c r="F760" t="s">
        <v>742</v>
      </c>
    </row>
    <row r="761" spans="1:6" x14ac:dyDescent="0.25">
      <c r="A761" t="str">
        <f>"16.1404"</f>
        <v>16.1404</v>
      </c>
      <c r="B761" t="s">
        <v>743</v>
      </c>
      <c r="C761" t="s">
        <v>7</v>
      </c>
      <c r="D761" t="s">
        <v>11</v>
      </c>
      <c r="E761" t="str">
        <f>"16.1404"</f>
        <v>16.1404</v>
      </c>
      <c r="F761" t="s">
        <v>743</v>
      </c>
    </row>
    <row r="762" spans="1:6" x14ac:dyDescent="0.25">
      <c r="A762" t="str">
        <f>"16.1405"</f>
        <v>16.1405</v>
      </c>
      <c r="B762" t="s">
        <v>744</v>
      </c>
      <c r="C762" t="s">
        <v>7</v>
      </c>
      <c r="D762" t="s">
        <v>11</v>
      </c>
      <c r="E762" t="str">
        <f>"16.1405"</f>
        <v>16.1405</v>
      </c>
      <c r="F762" t="s">
        <v>744</v>
      </c>
    </row>
    <row r="763" spans="1:6" x14ac:dyDescent="0.25">
      <c r="A763" t="str">
        <f>"16.1406"</f>
        <v>16.1406</v>
      </c>
      <c r="B763" t="s">
        <v>745</v>
      </c>
      <c r="C763" t="s">
        <v>7</v>
      </c>
      <c r="D763" t="s">
        <v>11</v>
      </c>
      <c r="E763" t="str">
        <f>"16.1406"</f>
        <v>16.1406</v>
      </c>
      <c r="F763" t="s">
        <v>745</v>
      </c>
    </row>
    <row r="764" spans="1:6" x14ac:dyDescent="0.25">
      <c r="A764" t="str">
        <f>"16.1407"</f>
        <v>16.1407</v>
      </c>
      <c r="B764" t="s">
        <v>746</v>
      </c>
      <c r="C764" t="s">
        <v>7</v>
      </c>
      <c r="D764" t="s">
        <v>11</v>
      </c>
      <c r="E764" t="str">
        <f>"16.1407"</f>
        <v>16.1407</v>
      </c>
      <c r="F764" t="s">
        <v>746</v>
      </c>
    </row>
    <row r="765" spans="1:6" x14ac:dyDescent="0.25">
      <c r="A765" t="str">
        <f>"16.1408"</f>
        <v>16.1408</v>
      </c>
      <c r="B765" t="s">
        <v>747</v>
      </c>
      <c r="C765" t="s">
        <v>7</v>
      </c>
      <c r="D765" t="s">
        <v>11</v>
      </c>
      <c r="E765" t="str">
        <f>"16.1408"</f>
        <v>16.1408</v>
      </c>
      <c r="F765" t="s">
        <v>747</v>
      </c>
    </row>
    <row r="766" spans="1:6" x14ac:dyDescent="0.25">
      <c r="C766" t="s">
        <v>26</v>
      </c>
      <c r="D766" t="s">
        <v>11</v>
      </c>
      <c r="E766" t="str">
        <f>"16.1409"</f>
        <v>16.1409</v>
      </c>
      <c r="F766" t="s">
        <v>748</v>
      </c>
    </row>
    <row r="767" spans="1:6" x14ac:dyDescent="0.25">
      <c r="A767" t="str">
        <f>"16.1499"</f>
        <v>16.1499</v>
      </c>
      <c r="B767" t="s">
        <v>749</v>
      </c>
      <c r="C767" t="s">
        <v>7</v>
      </c>
      <c r="D767" t="s">
        <v>11</v>
      </c>
      <c r="E767" t="str">
        <f>"16.1499"</f>
        <v>16.1499</v>
      </c>
      <c r="F767" t="s">
        <v>749</v>
      </c>
    </row>
    <row r="768" spans="1:6" x14ac:dyDescent="0.25">
      <c r="A768" t="str">
        <f>"16.15"</f>
        <v>16.15</v>
      </c>
      <c r="B768" t="s">
        <v>750</v>
      </c>
      <c r="C768" t="s">
        <v>7</v>
      </c>
      <c r="D768" t="s">
        <v>11</v>
      </c>
      <c r="E768" t="str">
        <f>"16.15"</f>
        <v>16.15</v>
      </c>
      <c r="F768" t="s">
        <v>750</v>
      </c>
    </row>
    <row r="769" spans="1:6" x14ac:dyDescent="0.25">
      <c r="A769" t="str">
        <f>"16.1501"</f>
        <v>16.1501</v>
      </c>
      <c r="B769" t="s">
        <v>751</v>
      </c>
      <c r="C769" t="s">
        <v>7</v>
      </c>
      <c r="D769" t="s">
        <v>11</v>
      </c>
      <c r="E769" t="str">
        <f>"16.1501"</f>
        <v>16.1501</v>
      </c>
      <c r="F769" t="s">
        <v>751</v>
      </c>
    </row>
    <row r="770" spans="1:6" x14ac:dyDescent="0.25">
      <c r="A770" t="str">
        <f>"16.1502"</f>
        <v>16.1502</v>
      </c>
      <c r="B770" t="s">
        <v>752</v>
      </c>
      <c r="C770" t="s">
        <v>7</v>
      </c>
      <c r="D770" t="s">
        <v>11</v>
      </c>
      <c r="E770" t="str">
        <f>"16.1502"</f>
        <v>16.1502</v>
      </c>
      <c r="F770" t="s">
        <v>752</v>
      </c>
    </row>
    <row r="771" spans="1:6" x14ac:dyDescent="0.25">
      <c r="A771" t="str">
        <f>"16.1503"</f>
        <v>16.1503</v>
      </c>
      <c r="B771" t="s">
        <v>753</v>
      </c>
      <c r="C771" t="s">
        <v>7</v>
      </c>
      <c r="D771" t="s">
        <v>11</v>
      </c>
      <c r="E771" t="str">
        <f>"16.1503"</f>
        <v>16.1503</v>
      </c>
      <c r="F771" t="s">
        <v>753</v>
      </c>
    </row>
    <row r="772" spans="1:6" x14ac:dyDescent="0.25">
      <c r="A772" t="str">
        <f>"16.1504"</f>
        <v>16.1504</v>
      </c>
      <c r="B772" t="s">
        <v>754</v>
      </c>
      <c r="C772" t="s">
        <v>7</v>
      </c>
      <c r="D772" t="s">
        <v>11</v>
      </c>
      <c r="E772" t="str">
        <f>"16.1504"</f>
        <v>16.1504</v>
      </c>
      <c r="F772" t="s">
        <v>754</v>
      </c>
    </row>
    <row r="773" spans="1:6" x14ac:dyDescent="0.25">
      <c r="A773" t="str">
        <f>"16.1599"</f>
        <v>16.1599</v>
      </c>
      <c r="B773" t="s">
        <v>755</v>
      </c>
      <c r="C773" t="s">
        <v>7</v>
      </c>
      <c r="D773" t="s">
        <v>11</v>
      </c>
      <c r="E773" t="str">
        <f>"16.1599"</f>
        <v>16.1599</v>
      </c>
      <c r="F773" t="s">
        <v>755</v>
      </c>
    </row>
    <row r="774" spans="1:6" x14ac:dyDescent="0.25">
      <c r="A774" t="str">
        <f>"16.16"</f>
        <v>16.16</v>
      </c>
      <c r="B774" t="s">
        <v>756</v>
      </c>
      <c r="C774" t="s">
        <v>7</v>
      </c>
      <c r="D774" t="s">
        <v>11</v>
      </c>
      <c r="E774" t="str">
        <f>"16.16"</f>
        <v>16.16</v>
      </c>
      <c r="F774" t="s">
        <v>756</v>
      </c>
    </row>
    <row r="775" spans="1:6" x14ac:dyDescent="0.25">
      <c r="A775" t="str">
        <f>"16.1601"</f>
        <v>16.1601</v>
      </c>
      <c r="B775" t="s">
        <v>757</v>
      </c>
      <c r="C775" t="s">
        <v>7</v>
      </c>
      <c r="D775" t="s">
        <v>11</v>
      </c>
      <c r="E775" t="str">
        <f>"16.1601"</f>
        <v>16.1601</v>
      </c>
      <c r="F775" t="s">
        <v>757</v>
      </c>
    </row>
    <row r="776" spans="1:6" x14ac:dyDescent="0.25">
      <c r="A776" t="str">
        <f>"16.1602"</f>
        <v>16.1602</v>
      </c>
      <c r="B776" t="s">
        <v>758</v>
      </c>
      <c r="C776" t="s">
        <v>7</v>
      </c>
      <c r="D776" t="s">
        <v>11</v>
      </c>
      <c r="E776" t="str">
        <f>"16.1602"</f>
        <v>16.1602</v>
      </c>
      <c r="F776" t="s">
        <v>758</v>
      </c>
    </row>
    <row r="777" spans="1:6" x14ac:dyDescent="0.25">
      <c r="A777" t="str">
        <f>"16.1603"</f>
        <v>16.1603</v>
      </c>
      <c r="B777" t="s">
        <v>759</v>
      </c>
      <c r="C777" t="s">
        <v>7</v>
      </c>
      <c r="D777" t="s">
        <v>11</v>
      </c>
      <c r="E777" t="str">
        <f>"16.1603"</f>
        <v>16.1603</v>
      </c>
      <c r="F777" t="s">
        <v>759</v>
      </c>
    </row>
    <row r="778" spans="1:6" x14ac:dyDescent="0.25">
      <c r="A778" t="str">
        <f>"16.1699"</f>
        <v>16.1699</v>
      </c>
      <c r="B778" t="s">
        <v>760</v>
      </c>
      <c r="C778" t="s">
        <v>7</v>
      </c>
      <c r="D778" t="s">
        <v>11</v>
      </c>
      <c r="E778" t="str">
        <f>"16.1699"</f>
        <v>16.1699</v>
      </c>
      <c r="F778" t="s">
        <v>760</v>
      </c>
    </row>
    <row r="779" spans="1:6" x14ac:dyDescent="0.25">
      <c r="C779" t="s">
        <v>26</v>
      </c>
      <c r="D779" t="s">
        <v>11</v>
      </c>
      <c r="E779" t="str">
        <f>"16.17"</f>
        <v>16.17</v>
      </c>
      <c r="F779" t="s">
        <v>761</v>
      </c>
    </row>
    <row r="780" spans="1:6" x14ac:dyDescent="0.25">
      <c r="C780" t="s">
        <v>26</v>
      </c>
      <c r="D780" t="s">
        <v>11</v>
      </c>
      <c r="E780" t="str">
        <f>"16.1701"</f>
        <v>16.1701</v>
      </c>
      <c r="F780" t="s">
        <v>762</v>
      </c>
    </row>
    <row r="781" spans="1:6" x14ac:dyDescent="0.25">
      <c r="C781" t="s">
        <v>26</v>
      </c>
      <c r="D781" t="s">
        <v>11</v>
      </c>
      <c r="E781" t="str">
        <f>"16.1702"</f>
        <v>16.1702</v>
      </c>
      <c r="F781" t="s">
        <v>42</v>
      </c>
    </row>
    <row r="782" spans="1:6" x14ac:dyDescent="0.25">
      <c r="C782" t="s">
        <v>26</v>
      </c>
      <c r="D782" t="s">
        <v>11</v>
      </c>
      <c r="E782" t="str">
        <f>"16.1799"</f>
        <v>16.1799</v>
      </c>
      <c r="F782" t="s">
        <v>42</v>
      </c>
    </row>
    <row r="783" spans="1:6" x14ac:dyDescent="0.25">
      <c r="C783" t="s">
        <v>26</v>
      </c>
      <c r="D783" t="s">
        <v>11</v>
      </c>
      <c r="E783" t="str">
        <f>"16.18"</f>
        <v>16.18</v>
      </c>
      <c r="F783" t="s">
        <v>763</v>
      </c>
    </row>
    <row r="784" spans="1:6" x14ac:dyDescent="0.25">
      <c r="C784" t="s">
        <v>26</v>
      </c>
      <c r="D784" t="s">
        <v>11</v>
      </c>
      <c r="E784" t="str">
        <f>"16.1801"</f>
        <v>16.1801</v>
      </c>
      <c r="F784" t="s">
        <v>764</v>
      </c>
    </row>
    <row r="785" spans="1:6" x14ac:dyDescent="0.25">
      <c r="A785" t="str">
        <f>"16.99"</f>
        <v>16.99</v>
      </c>
      <c r="B785" t="s">
        <v>765</v>
      </c>
      <c r="C785" t="s">
        <v>7</v>
      </c>
      <c r="D785" t="s">
        <v>11</v>
      </c>
      <c r="E785" t="str">
        <f>"16.99"</f>
        <v>16.99</v>
      </c>
      <c r="F785" t="s">
        <v>765</v>
      </c>
    </row>
    <row r="786" spans="1:6" x14ac:dyDescent="0.25">
      <c r="A786" t="str">
        <f>"16.9999"</f>
        <v>16.9999</v>
      </c>
      <c r="B786" t="s">
        <v>765</v>
      </c>
      <c r="C786" t="s">
        <v>7</v>
      </c>
      <c r="D786" t="s">
        <v>11</v>
      </c>
      <c r="E786" t="str">
        <f>"16.9999"</f>
        <v>16.9999</v>
      </c>
      <c r="F786" t="s">
        <v>765</v>
      </c>
    </row>
    <row r="787" spans="1:6" x14ac:dyDescent="0.25">
      <c r="A787" t="str">
        <f>"19"</f>
        <v>19</v>
      </c>
      <c r="B787" t="s">
        <v>766</v>
      </c>
      <c r="C787" t="s">
        <v>7</v>
      </c>
      <c r="D787" t="s">
        <v>11</v>
      </c>
      <c r="E787" t="str">
        <f>"19"</f>
        <v>19</v>
      </c>
      <c r="F787" t="s">
        <v>766</v>
      </c>
    </row>
    <row r="788" spans="1:6" x14ac:dyDescent="0.25">
      <c r="A788" t="str">
        <f>"19.00"</f>
        <v>19.00</v>
      </c>
      <c r="B788" t="s">
        <v>767</v>
      </c>
      <c r="C788" t="s">
        <v>38</v>
      </c>
      <c r="D788" t="s">
        <v>11</v>
      </c>
      <c r="E788" t="str">
        <f>"19.10"</f>
        <v>19.10</v>
      </c>
      <c r="F788" t="s">
        <v>767</v>
      </c>
    </row>
    <row r="789" spans="1:6" x14ac:dyDescent="0.25">
      <c r="A789" t="str">
        <f>"19.0000"</f>
        <v>19.0000</v>
      </c>
      <c r="B789" t="s">
        <v>767</v>
      </c>
      <c r="C789" t="s">
        <v>38</v>
      </c>
      <c r="D789" t="s">
        <v>11</v>
      </c>
      <c r="E789" t="str">
        <f>"19.1001"</f>
        <v>19.1001</v>
      </c>
      <c r="F789" t="s">
        <v>767</v>
      </c>
    </row>
    <row r="790" spans="1:6" x14ac:dyDescent="0.25">
      <c r="A790" t="str">
        <f>"19.01"</f>
        <v>19.01</v>
      </c>
      <c r="B790" t="s">
        <v>768</v>
      </c>
      <c r="C790" t="s">
        <v>7</v>
      </c>
      <c r="D790" t="s">
        <v>11</v>
      </c>
      <c r="E790" t="str">
        <f>"19.01"</f>
        <v>19.01</v>
      </c>
      <c r="F790" t="s">
        <v>768</v>
      </c>
    </row>
    <row r="791" spans="1:6" x14ac:dyDescent="0.25">
      <c r="A791" t="str">
        <f>"19.0101"</f>
        <v>19.0101</v>
      </c>
      <c r="B791" t="s">
        <v>768</v>
      </c>
      <c r="C791" t="s">
        <v>7</v>
      </c>
      <c r="D791" t="s">
        <v>11</v>
      </c>
      <c r="E791" t="str">
        <f>"19.0101"</f>
        <v>19.0101</v>
      </c>
      <c r="F791" t="s">
        <v>768</v>
      </c>
    </row>
    <row r="792" spans="1:6" x14ac:dyDescent="0.25">
      <c r="A792" t="str">
        <f>"19.02"</f>
        <v>19.02</v>
      </c>
      <c r="B792" t="s">
        <v>769</v>
      </c>
      <c r="C792" t="s">
        <v>7</v>
      </c>
      <c r="D792" t="s">
        <v>11</v>
      </c>
      <c r="E792" t="str">
        <f>"19.02"</f>
        <v>19.02</v>
      </c>
      <c r="F792" t="s">
        <v>769</v>
      </c>
    </row>
    <row r="793" spans="1:6" x14ac:dyDescent="0.25">
      <c r="A793" t="str">
        <f>"19.0201"</f>
        <v>19.0201</v>
      </c>
      <c r="B793" t="s">
        <v>770</v>
      </c>
      <c r="C793" t="s">
        <v>7</v>
      </c>
      <c r="D793" t="s">
        <v>11</v>
      </c>
      <c r="E793" t="str">
        <f>"19.0201"</f>
        <v>19.0201</v>
      </c>
      <c r="F793" t="s">
        <v>770</v>
      </c>
    </row>
    <row r="794" spans="1:6" x14ac:dyDescent="0.25">
      <c r="A794" t="str">
        <f>"19.0202"</f>
        <v>19.0202</v>
      </c>
      <c r="B794" t="s">
        <v>771</v>
      </c>
      <c r="C794" t="s">
        <v>7</v>
      </c>
      <c r="D794" t="s">
        <v>11</v>
      </c>
      <c r="E794" t="str">
        <f>"19.0202"</f>
        <v>19.0202</v>
      </c>
      <c r="F794" t="s">
        <v>771</v>
      </c>
    </row>
    <row r="795" spans="1:6" x14ac:dyDescent="0.25">
      <c r="A795" t="str">
        <f>"19.0203"</f>
        <v>19.0203</v>
      </c>
      <c r="B795" t="s">
        <v>772</v>
      </c>
      <c r="C795" t="s">
        <v>7</v>
      </c>
      <c r="D795" t="s">
        <v>11</v>
      </c>
      <c r="E795" t="str">
        <f>"19.0203"</f>
        <v>19.0203</v>
      </c>
      <c r="F795" t="s">
        <v>772</v>
      </c>
    </row>
    <row r="796" spans="1:6" x14ac:dyDescent="0.25">
      <c r="A796" t="str">
        <f>"19.0299"</f>
        <v>19.0299</v>
      </c>
      <c r="B796" t="s">
        <v>773</v>
      </c>
      <c r="C796" t="s">
        <v>7</v>
      </c>
      <c r="D796" t="s">
        <v>11</v>
      </c>
      <c r="E796" t="str">
        <f>"19.0299"</f>
        <v>19.0299</v>
      </c>
      <c r="F796" t="s">
        <v>773</v>
      </c>
    </row>
    <row r="797" spans="1:6" x14ac:dyDescent="0.25">
      <c r="A797" t="str">
        <f>"19.04"</f>
        <v>19.04</v>
      </c>
      <c r="B797" t="s">
        <v>774</v>
      </c>
      <c r="C797" t="s">
        <v>7</v>
      </c>
      <c r="D797" t="s">
        <v>11</v>
      </c>
      <c r="E797" t="str">
        <f>"19.04"</f>
        <v>19.04</v>
      </c>
      <c r="F797" t="s">
        <v>774</v>
      </c>
    </row>
    <row r="798" spans="1:6" x14ac:dyDescent="0.25">
      <c r="A798" t="str">
        <f>"19.0401"</f>
        <v>19.0401</v>
      </c>
      <c r="B798" t="s">
        <v>775</v>
      </c>
      <c r="C798" t="s">
        <v>7</v>
      </c>
      <c r="D798" t="s">
        <v>11</v>
      </c>
      <c r="E798" t="str">
        <f>"19.0401"</f>
        <v>19.0401</v>
      </c>
      <c r="F798" t="s">
        <v>775</v>
      </c>
    </row>
    <row r="799" spans="1:6" x14ac:dyDescent="0.25">
      <c r="A799" t="str">
        <f>"19.0402"</f>
        <v>19.0402</v>
      </c>
      <c r="B799" t="s">
        <v>776</v>
      </c>
      <c r="C799" t="s">
        <v>7</v>
      </c>
      <c r="D799" t="s">
        <v>11</v>
      </c>
      <c r="E799" t="str">
        <f>"19.0402"</f>
        <v>19.0402</v>
      </c>
      <c r="F799" t="s">
        <v>776</v>
      </c>
    </row>
    <row r="800" spans="1:6" x14ac:dyDescent="0.25">
      <c r="A800" t="str">
        <f>"19.0403"</f>
        <v>19.0403</v>
      </c>
      <c r="B800" t="s">
        <v>777</v>
      </c>
      <c r="C800" t="s">
        <v>7</v>
      </c>
      <c r="D800" t="s">
        <v>11</v>
      </c>
      <c r="E800" t="str">
        <f>"19.0403"</f>
        <v>19.0403</v>
      </c>
      <c r="F800" t="s">
        <v>777</v>
      </c>
    </row>
    <row r="801" spans="1:6" x14ac:dyDescent="0.25">
      <c r="A801" t="str">
        <f>"19.0499"</f>
        <v>19.0499</v>
      </c>
      <c r="B801" t="s">
        <v>778</v>
      </c>
      <c r="C801" t="s">
        <v>7</v>
      </c>
      <c r="D801" t="s">
        <v>11</v>
      </c>
      <c r="E801" t="str">
        <f>"19.0499"</f>
        <v>19.0499</v>
      </c>
      <c r="F801" t="s">
        <v>778</v>
      </c>
    </row>
    <row r="802" spans="1:6" x14ac:dyDescent="0.25">
      <c r="A802" t="str">
        <f>"19.05"</f>
        <v>19.05</v>
      </c>
      <c r="B802" t="s">
        <v>779</v>
      </c>
      <c r="C802" t="s">
        <v>7</v>
      </c>
      <c r="D802" t="s">
        <v>11</v>
      </c>
      <c r="E802" t="str">
        <f>"19.05"</f>
        <v>19.05</v>
      </c>
      <c r="F802" t="s">
        <v>779</v>
      </c>
    </row>
    <row r="803" spans="1:6" x14ac:dyDescent="0.25">
      <c r="A803" t="str">
        <f>"19.0501"</f>
        <v>19.0501</v>
      </c>
      <c r="B803" t="s">
        <v>780</v>
      </c>
      <c r="C803" t="s">
        <v>7</v>
      </c>
      <c r="D803" t="s">
        <v>11</v>
      </c>
      <c r="E803" t="str">
        <f>"19.0501"</f>
        <v>19.0501</v>
      </c>
      <c r="F803" t="s">
        <v>780</v>
      </c>
    </row>
    <row r="804" spans="1:6" x14ac:dyDescent="0.25">
      <c r="A804" t="str">
        <f>"19.0504"</f>
        <v>19.0504</v>
      </c>
      <c r="B804" t="s">
        <v>781</v>
      </c>
      <c r="C804" t="s">
        <v>7</v>
      </c>
      <c r="D804" t="s">
        <v>11</v>
      </c>
      <c r="E804" t="str">
        <f>"19.0504"</f>
        <v>19.0504</v>
      </c>
      <c r="F804" t="s">
        <v>781</v>
      </c>
    </row>
    <row r="805" spans="1:6" x14ac:dyDescent="0.25">
      <c r="A805" t="str">
        <f>"19.0505"</f>
        <v>19.0505</v>
      </c>
      <c r="B805" t="s">
        <v>782</v>
      </c>
      <c r="C805" t="s">
        <v>7</v>
      </c>
      <c r="D805" t="s">
        <v>11</v>
      </c>
      <c r="E805" t="str">
        <f>"19.0505"</f>
        <v>19.0505</v>
      </c>
      <c r="F805" t="s">
        <v>782</v>
      </c>
    </row>
    <row r="806" spans="1:6" x14ac:dyDescent="0.25">
      <c r="A806" t="str">
        <f>"19.0599"</f>
        <v>19.0599</v>
      </c>
      <c r="B806" t="s">
        <v>783</v>
      </c>
      <c r="C806" t="s">
        <v>7</v>
      </c>
      <c r="D806" t="s">
        <v>11</v>
      </c>
      <c r="E806" t="str">
        <f>"19.0599"</f>
        <v>19.0599</v>
      </c>
      <c r="F806" t="s">
        <v>783</v>
      </c>
    </row>
    <row r="807" spans="1:6" x14ac:dyDescent="0.25">
      <c r="A807" t="str">
        <f>"19.06"</f>
        <v>19.06</v>
      </c>
      <c r="B807" t="s">
        <v>784</v>
      </c>
      <c r="C807" t="s">
        <v>7</v>
      </c>
      <c r="D807" t="s">
        <v>11</v>
      </c>
      <c r="E807" t="str">
        <f>"19.06"</f>
        <v>19.06</v>
      </c>
      <c r="F807" t="s">
        <v>784</v>
      </c>
    </row>
    <row r="808" spans="1:6" x14ac:dyDescent="0.25">
      <c r="A808" t="str">
        <f>"19.0601"</f>
        <v>19.0601</v>
      </c>
      <c r="B808" t="s">
        <v>785</v>
      </c>
      <c r="C808" t="s">
        <v>7</v>
      </c>
      <c r="D808" t="s">
        <v>11</v>
      </c>
      <c r="E808" t="str">
        <f>"19.0601"</f>
        <v>19.0601</v>
      </c>
      <c r="F808" t="s">
        <v>785</v>
      </c>
    </row>
    <row r="809" spans="1:6" x14ac:dyDescent="0.25">
      <c r="A809" t="str">
        <f>"19.0604"</f>
        <v>19.0604</v>
      </c>
      <c r="B809" t="s">
        <v>786</v>
      </c>
      <c r="C809" t="s">
        <v>7</v>
      </c>
      <c r="D809" t="s">
        <v>11</v>
      </c>
      <c r="E809" t="str">
        <f>"19.0604"</f>
        <v>19.0604</v>
      </c>
      <c r="F809" t="s">
        <v>786</v>
      </c>
    </row>
    <row r="810" spans="1:6" x14ac:dyDescent="0.25">
      <c r="A810" t="str">
        <f>"19.0605"</f>
        <v>19.0605</v>
      </c>
      <c r="B810" t="s">
        <v>787</v>
      </c>
      <c r="C810" t="s">
        <v>7</v>
      </c>
      <c r="D810" t="s">
        <v>11</v>
      </c>
      <c r="E810" t="str">
        <f>"19.0605"</f>
        <v>19.0605</v>
      </c>
      <c r="F810" t="s">
        <v>787</v>
      </c>
    </row>
    <row r="811" spans="1:6" x14ac:dyDescent="0.25">
      <c r="A811" t="str">
        <f>"19.0699"</f>
        <v>19.0699</v>
      </c>
      <c r="B811" t="s">
        <v>788</v>
      </c>
      <c r="C811" t="s">
        <v>7</v>
      </c>
      <c r="D811" t="s">
        <v>11</v>
      </c>
      <c r="E811" t="str">
        <f>"19.0699"</f>
        <v>19.0699</v>
      </c>
      <c r="F811" t="s">
        <v>788</v>
      </c>
    </row>
    <row r="812" spans="1:6" x14ac:dyDescent="0.25">
      <c r="A812" t="str">
        <f>"19.07"</f>
        <v>19.07</v>
      </c>
      <c r="B812" t="s">
        <v>789</v>
      </c>
      <c r="C812" t="s">
        <v>7</v>
      </c>
      <c r="D812" t="s">
        <v>11</v>
      </c>
      <c r="E812" t="str">
        <f>"19.07"</f>
        <v>19.07</v>
      </c>
      <c r="F812" t="s">
        <v>789</v>
      </c>
    </row>
    <row r="813" spans="1:6" x14ac:dyDescent="0.25">
      <c r="A813" t="str">
        <f>"19.0701"</f>
        <v>19.0701</v>
      </c>
      <c r="B813" t="s">
        <v>790</v>
      </c>
      <c r="C813" t="s">
        <v>7</v>
      </c>
      <c r="D813" t="s">
        <v>11</v>
      </c>
      <c r="E813" t="str">
        <f>"19.0701"</f>
        <v>19.0701</v>
      </c>
      <c r="F813" t="s">
        <v>790</v>
      </c>
    </row>
    <row r="814" spans="1:6" x14ac:dyDescent="0.25">
      <c r="A814" t="str">
        <f>"19.0702"</f>
        <v>19.0702</v>
      </c>
      <c r="B814" t="s">
        <v>791</v>
      </c>
      <c r="C814" t="s">
        <v>7</v>
      </c>
      <c r="D814" t="s">
        <v>11</v>
      </c>
      <c r="E814" t="str">
        <f>"19.0702"</f>
        <v>19.0702</v>
      </c>
      <c r="F814" t="s">
        <v>791</v>
      </c>
    </row>
    <row r="815" spans="1:6" x14ac:dyDescent="0.25">
      <c r="A815" t="str">
        <f>"19.0704"</f>
        <v>19.0704</v>
      </c>
      <c r="B815" t="s">
        <v>792</v>
      </c>
      <c r="C815" t="s">
        <v>7</v>
      </c>
      <c r="D815" t="s">
        <v>11</v>
      </c>
      <c r="E815" t="str">
        <f>"19.0704"</f>
        <v>19.0704</v>
      </c>
      <c r="F815" t="s">
        <v>792</v>
      </c>
    </row>
    <row r="816" spans="1:6" x14ac:dyDescent="0.25">
      <c r="A816" t="str">
        <f>"19.0706"</f>
        <v>19.0706</v>
      </c>
      <c r="B816" t="s">
        <v>793</v>
      </c>
      <c r="C816" t="s">
        <v>7</v>
      </c>
      <c r="D816" t="s">
        <v>11</v>
      </c>
      <c r="E816" t="str">
        <f>"19.0706"</f>
        <v>19.0706</v>
      </c>
      <c r="F816" t="s">
        <v>793</v>
      </c>
    </row>
    <row r="817" spans="1:6" x14ac:dyDescent="0.25">
      <c r="A817" t="str">
        <f>"19.0707"</f>
        <v>19.0707</v>
      </c>
      <c r="B817" t="s">
        <v>794</v>
      </c>
      <c r="C817" t="s">
        <v>7</v>
      </c>
      <c r="D817" t="s">
        <v>11</v>
      </c>
      <c r="E817" t="str">
        <f>"19.0707"</f>
        <v>19.0707</v>
      </c>
      <c r="F817" t="s">
        <v>794</v>
      </c>
    </row>
    <row r="818" spans="1:6" x14ac:dyDescent="0.25">
      <c r="A818" t="str">
        <f>"19.0708"</f>
        <v>19.0708</v>
      </c>
      <c r="B818" t="s">
        <v>795</v>
      </c>
      <c r="C818" t="s">
        <v>7</v>
      </c>
      <c r="D818" t="s">
        <v>11</v>
      </c>
      <c r="E818" t="str">
        <f>"19.0708"</f>
        <v>19.0708</v>
      </c>
      <c r="F818" t="s">
        <v>795</v>
      </c>
    </row>
    <row r="819" spans="1:6" x14ac:dyDescent="0.25">
      <c r="A819" t="str">
        <f>"19.0709"</f>
        <v>19.0709</v>
      </c>
      <c r="B819" t="s">
        <v>796</v>
      </c>
      <c r="C819" t="s">
        <v>7</v>
      </c>
      <c r="D819" t="s">
        <v>11</v>
      </c>
      <c r="E819" t="str">
        <f>"19.0709"</f>
        <v>19.0709</v>
      </c>
      <c r="F819" t="s">
        <v>796</v>
      </c>
    </row>
    <row r="820" spans="1:6" x14ac:dyDescent="0.25">
      <c r="A820" t="str">
        <f>"19.0710"</f>
        <v>19.0710</v>
      </c>
      <c r="B820" t="s">
        <v>797</v>
      </c>
      <c r="C820" t="s">
        <v>7</v>
      </c>
      <c r="D820" t="s">
        <v>11</v>
      </c>
      <c r="E820" t="str">
        <f>"19.0710"</f>
        <v>19.0710</v>
      </c>
      <c r="F820" t="s">
        <v>797</v>
      </c>
    </row>
    <row r="821" spans="1:6" x14ac:dyDescent="0.25">
      <c r="C821" t="s">
        <v>26</v>
      </c>
      <c r="D821" t="s">
        <v>11</v>
      </c>
      <c r="E821" t="str">
        <f>"19.0711"</f>
        <v>19.0711</v>
      </c>
      <c r="F821" t="s">
        <v>798</v>
      </c>
    </row>
    <row r="822" spans="1:6" x14ac:dyDescent="0.25">
      <c r="C822" t="s">
        <v>26</v>
      </c>
      <c r="D822" t="s">
        <v>11</v>
      </c>
      <c r="E822" t="str">
        <f>"19.0712"</f>
        <v>19.0712</v>
      </c>
      <c r="F822" t="s">
        <v>799</v>
      </c>
    </row>
    <row r="823" spans="1:6" x14ac:dyDescent="0.25">
      <c r="A823" t="str">
        <f>"19.0799"</f>
        <v>19.0799</v>
      </c>
      <c r="B823" t="s">
        <v>800</v>
      </c>
      <c r="C823" t="s">
        <v>7</v>
      </c>
      <c r="D823" t="s">
        <v>11</v>
      </c>
      <c r="E823" t="str">
        <f>"19.0799"</f>
        <v>19.0799</v>
      </c>
      <c r="F823" t="s">
        <v>800</v>
      </c>
    </row>
    <row r="824" spans="1:6" x14ac:dyDescent="0.25">
      <c r="A824" t="str">
        <f>"19.09"</f>
        <v>19.09</v>
      </c>
      <c r="B824" t="s">
        <v>801</v>
      </c>
      <c r="C824" t="s">
        <v>7</v>
      </c>
      <c r="D824" t="s">
        <v>11</v>
      </c>
      <c r="E824" t="str">
        <f>"19.09"</f>
        <v>19.09</v>
      </c>
      <c r="F824" t="s">
        <v>801</v>
      </c>
    </row>
    <row r="825" spans="1:6" x14ac:dyDescent="0.25">
      <c r="A825" t="str">
        <f>"19.0901"</f>
        <v>19.0901</v>
      </c>
      <c r="B825" t="s">
        <v>802</v>
      </c>
      <c r="C825" t="s">
        <v>7</v>
      </c>
      <c r="D825" t="s">
        <v>11</v>
      </c>
      <c r="E825" t="str">
        <f>"19.0901"</f>
        <v>19.0901</v>
      </c>
      <c r="F825" t="s">
        <v>802</v>
      </c>
    </row>
    <row r="826" spans="1:6" x14ac:dyDescent="0.25">
      <c r="A826" t="str">
        <f>"19.0902"</f>
        <v>19.0902</v>
      </c>
      <c r="B826" t="s">
        <v>803</v>
      </c>
      <c r="C826" t="s">
        <v>7</v>
      </c>
      <c r="D826" t="s">
        <v>11</v>
      </c>
      <c r="E826" t="str">
        <f>"19.0902"</f>
        <v>19.0902</v>
      </c>
      <c r="F826" t="s">
        <v>803</v>
      </c>
    </row>
    <row r="827" spans="1:6" x14ac:dyDescent="0.25">
      <c r="A827" t="str">
        <f>"19.0904"</f>
        <v>19.0904</v>
      </c>
      <c r="B827" t="s">
        <v>804</v>
      </c>
      <c r="C827" t="s">
        <v>7</v>
      </c>
      <c r="D827" t="s">
        <v>11</v>
      </c>
      <c r="E827" t="str">
        <f>"19.0904"</f>
        <v>19.0904</v>
      </c>
      <c r="F827" t="s">
        <v>804</v>
      </c>
    </row>
    <row r="828" spans="1:6" x14ac:dyDescent="0.25">
      <c r="A828" t="str">
        <f>"19.0905"</f>
        <v>19.0905</v>
      </c>
      <c r="B828" t="s">
        <v>805</v>
      </c>
      <c r="C828" t="s">
        <v>7</v>
      </c>
      <c r="D828" t="s">
        <v>11</v>
      </c>
      <c r="E828" t="str">
        <f>"19.0905"</f>
        <v>19.0905</v>
      </c>
      <c r="F828" t="s">
        <v>805</v>
      </c>
    </row>
    <row r="829" spans="1:6" x14ac:dyDescent="0.25">
      <c r="A829" t="str">
        <f>"19.0906"</f>
        <v>19.0906</v>
      </c>
      <c r="B829" t="s">
        <v>806</v>
      </c>
      <c r="C829" t="s">
        <v>7</v>
      </c>
      <c r="D829" t="s">
        <v>11</v>
      </c>
      <c r="E829" t="str">
        <f>"19.0906"</f>
        <v>19.0906</v>
      </c>
      <c r="F829" t="s">
        <v>806</v>
      </c>
    </row>
    <row r="830" spans="1:6" x14ac:dyDescent="0.25">
      <c r="A830" t="str">
        <f>"19.0999"</f>
        <v>19.0999</v>
      </c>
      <c r="B830" t="s">
        <v>807</v>
      </c>
      <c r="C830" t="s">
        <v>7</v>
      </c>
      <c r="D830" t="s">
        <v>11</v>
      </c>
      <c r="E830" t="str">
        <f>"19.0999"</f>
        <v>19.0999</v>
      </c>
      <c r="F830" t="s">
        <v>807</v>
      </c>
    </row>
    <row r="831" spans="1:6" x14ac:dyDescent="0.25">
      <c r="A831" t="str">
        <f>"19.99"</f>
        <v>19.99</v>
      </c>
      <c r="B831" t="s">
        <v>808</v>
      </c>
      <c r="C831" t="s">
        <v>7</v>
      </c>
      <c r="D831" t="s">
        <v>11</v>
      </c>
      <c r="E831" t="str">
        <f>"19.99"</f>
        <v>19.99</v>
      </c>
      <c r="F831" t="s">
        <v>808</v>
      </c>
    </row>
    <row r="832" spans="1:6" x14ac:dyDescent="0.25">
      <c r="A832" t="str">
        <f>"19.9999"</f>
        <v>19.9999</v>
      </c>
      <c r="B832" t="s">
        <v>808</v>
      </c>
      <c r="C832" t="s">
        <v>7</v>
      </c>
      <c r="D832" t="s">
        <v>11</v>
      </c>
      <c r="E832" t="str">
        <f>"19.9999"</f>
        <v>19.9999</v>
      </c>
      <c r="F832" t="s">
        <v>808</v>
      </c>
    </row>
    <row r="833" spans="1:6" x14ac:dyDescent="0.25">
      <c r="C833" t="s">
        <v>26</v>
      </c>
      <c r="D833" t="s">
        <v>11</v>
      </c>
      <c r="E833" t="str">
        <f>"21"</f>
        <v>21</v>
      </c>
      <c r="F833" t="s">
        <v>809</v>
      </c>
    </row>
    <row r="834" spans="1:6" x14ac:dyDescent="0.25">
      <c r="C834" t="s">
        <v>26</v>
      </c>
      <c r="D834" t="s">
        <v>11</v>
      </c>
      <c r="E834" t="str">
        <f>"21.01"</f>
        <v>21.01</v>
      </c>
      <c r="F834" t="s">
        <v>42</v>
      </c>
    </row>
    <row r="835" spans="1:6" x14ac:dyDescent="0.25">
      <c r="C835" t="s">
        <v>26</v>
      </c>
      <c r="D835" t="s">
        <v>11</v>
      </c>
      <c r="E835" t="str">
        <f>"21.0101"</f>
        <v>21.0101</v>
      </c>
      <c r="F835" t="s">
        <v>42</v>
      </c>
    </row>
    <row r="836" spans="1:6" x14ac:dyDescent="0.25">
      <c r="A836" t="str">
        <f>"22"</f>
        <v>22</v>
      </c>
      <c r="B836" t="s">
        <v>810</v>
      </c>
      <c r="C836" t="s">
        <v>7</v>
      </c>
      <c r="D836" t="s">
        <v>11</v>
      </c>
      <c r="E836" t="str">
        <f>"22"</f>
        <v>22</v>
      </c>
      <c r="F836" t="s">
        <v>810</v>
      </c>
    </row>
    <row r="837" spans="1:6" x14ac:dyDescent="0.25">
      <c r="A837" t="str">
        <f>"22.00"</f>
        <v>22.00</v>
      </c>
      <c r="B837" t="s">
        <v>811</v>
      </c>
      <c r="C837" t="s">
        <v>7</v>
      </c>
      <c r="D837" t="s">
        <v>8</v>
      </c>
      <c r="E837" t="str">
        <f>"22.00"</f>
        <v>22.00</v>
      </c>
      <c r="F837" t="s">
        <v>812</v>
      </c>
    </row>
    <row r="838" spans="1:6" x14ac:dyDescent="0.25">
      <c r="A838" t="str">
        <f>"22.0000"</f>
        <v>22.0000</v>
      </c>
      <c r="B838" t="s">
        <v>813</v>
      </c>
      <c r="C838" t="s">
        <v>7</v>
      </c>
      <c r="D838" t="s">
        <v>8</v>
      </c>
      <c r="E838" t="str">
        <f>"22.0000"</f>
        <v>22.0000</v>
      </c>
      <c r="F838" t="s">
        <v>814</v>
      </c>
    </row>
    <row r="839" spans="1:6" x14ac:dyDescent="0.25">
      <c r="A839" t="str">
        <f>"22.0001"</f>
        <v>22.0001</v>
      </c>
      <c r="B839" t="s">
        <v>815</v>
      </c>
      <c r="C839" t="s">
        <v>7</v>
      </c>
      <c r="D839" t="s">
        <v>11</v>
      </c>
      <c r="E839" t="str">
        <f>"22.0001"</f>
        <v>22.0001</v>
      </c>
      <c r="F839" t="s">
        <v>815</v>
      </c>
    </row>
    <row r="840" spans="1:6" x14ac:dyDescent="0.25">
      <c r="C840" t="s">
        <v>26</v>
      </c>
      <c r="D840" t="s">
        <v>11</v>
      </c>
      <c r="E840" t="str">
        <f>"22.0099"</f>
        <v>22.0099</v>
      </c>
      <c r="F840" t="s">
        <v>816</v>
      </c>
    </row>
    <row r="841" spans="1:6" x14ac:dyDescent="0.25">
      <c r="A841" t="str">
        <f>"22.01"</f>
        <v>22.01</v>
      </c>
      <c r="B841" t="s">
        <v>817</v>
      </c>
      <c r="C841" t="s">
        <v>7</v>
      </c>
      <c r="D841" t="s">
        <v>11</v>
      </c>
      <c r="E841" t="str">
        <f>"22.01"</f>
        <v>22.01</v>
      </c>
      <c r="F841" t="s">
        <v>817</v>
      </c>
    </row>
    <row r="842" spans="1:6" x14ac:dyDescent="0.25">
      <c r="A842" t="str">
        <f>"22.0101"</f>
        <v>22.0101</v>
      </c>
      <c r="B842" t="s">
        <v>817</v>
      </c>
      <c r="C842" t="s">
        <v>7</v>
      </c>
      <c r="D842" t="s">
        <v>11</v>
      </c>
      <c r="E842" t="str">
        <f>"22.0101"</f>
        <v>22.0101</v>
      </c>
      <c r="F842" t="s">
        <v>817</v>
      </c>
    </row>
    <row r="843" spans="1:6" x14ac:dyDescent="0.25">
      <c r="A843" t="str">
        <f>"22.02"</f>
        <v>22.02</v>
      </c>
      <c r="B843" t="s">
        <v>818</v>
      </c>
      <c r="C843" t="s">
        <v>7</v>
      </c>
      <c r="D843" t="s">
        <v>11</v>
      </c>
      <c r="E843" t="str">
        <f>"22.02"</f>
        <v>22.02</v>
      </c>
      <c r="F843" t="s">
        <v>818</v>
      </c>
    </row>
    <row r="844" spans="1:6" x14ac:dyDescent="0.25">
      <c r="A844" t="str">
        <f>"22.0201"</f>
        <v>22.0201</v>
      </c>
      <c r="B844" t="s">
        <v>819</v>
      </c>
      <c r="C844" t="s">
        <v>7</v>
      </c>
      <c r="D844" t="s">
        <v>11</v>
      </c>
      <c r="E844" t="str">
        <f>"22.0201"</f>
        <v>22.0201</v>
      </c>
      <c r="F844" t="s">
        <v>819</v>
      </c>
    </row>
    <row r="845" spans="1:6" x14ac:dyDescent="0.25">
      <c r="A845" t="str">
        <f>"22.0202"</f>
        <v>22.0202</v>
      </c>
      <c r="B845" t="s">
        <v>820</v>
      </c>
      <c r="C845" t="s">
        <v>7</v>
      </c>
      <c r="D845" t="s">
        <v>11</v>
      </c>
      <c r="E845" t="str">
        <f>"22.0202"</f>
        <v>22.0202</v>
      </c>
      <c r="F845" t="s">
        <v>820</v>
      </c>
    </row>
    <row r="846" spans="1:6" x14ac:dyDescent="0.25">
      <c r="A846" t="str">
        <f>"22.0203"</f>
        <v>22.0203</v>
      </c>
      <c r="B846" t="s">
        <v>821</v>
      </c>
      <c r="C846" t="s">
        <v>7</v>
      </c>
      <c r="D846" t="s">
        <v>11</v>
      </c>
      <c r="E846" t="str">
        <f>"22.0203"</f>
        <v>22.0203</v>
      </c>
      <c r="F846" t="s">
        <v>821</v>
      </c>
    </row>
    <row r="847" spans="1:6" x14ac:dyDescent="0.25">
      <c r="A847" t="str">
        <f>"22.0204"</f>
        <v>22.0204</v>
      </c>
      <c r="B847" t="s">
        <v>822</v>
      </c>
      <c r="C847" t="s">
        <v>7</v>
      </c>
      <c r="D847" t="s">
        <v>11</v>
      </c>
      <c r="E847" t="str">
        <f>"22.0204"</f>
        <v>22.0204</v>
      </c>
      <c r="F847" t="s">
        <v>822</v>
      </c>
    </row>
    <row r="848" spans="1:6" x14ac:dyDescent="0.25">
      <c r="A848" t="str">
        <f>"22.0205"</f>
        <v>22.0205</v>
      </c>
      <c r="B848" t="s">
        <v>823</v>
      </c>
      <c r="C848" t="s">
        <v>7</v>
      </c>
      <c r="D848" t="s">
        <v>11</v>
      </c>
      <c r="E848" t="str">
        <f>"22.0205"</f>
        <v>22.0205</v>
      </c>
      <c r="F848" t="s">
        <v>823</v>
      </c>
    </row>
    <row r="849" spans="1:6" x14ac:dyDescent="0.25">
      <c r="A849" t="str">
        <f>"22.0206"</f>
        <v>22.0206</v>
      </c>
      <c r="B849" t="s">
        <v>824</v>
      </c>
      <c r="C849" t="s">
        <v>7</v>
      </c>
      <c r="D849" t="s">
        <v>11</v>
      </c>
      <c r="E849" t="str">
        <f>"22.0206"</f>
        <v>22.0206</v>
      </c>
      <c r="F849" t="s">
        <v>824</v>
      </c>
    </row>
    <row r="850" spans="1:6" x14ac:dyDescent="0.25">
      <c r="A850" t="str">
        <f>"22.0207"</f>
        <v>22.0207</v>
      </c>
      <c r="B850" t="s">
        <v>825</v>
      </c>
      <c r="C850" t="s">
        <v>7</v>
      </c>
      <c r="D850" t="s">
        <v>11</v>
      </c>
      <c r="E850" t="str">
        <f>"22.0207"</f>
        <v>22.0207</v>
      </c>
      <c r="F850" t="s">
        <v>825</v>
      </c>
    </row>
    <row r="851" spans="1:6" x14ac:dyDescent="0.25">
      <c r="A851" t="str">
        <f>"22.0208"</f>
        <v>22.0208</v>
      </c>
      <c r="B851" t="s">
        <v>826</v>
      </c>
      <c r="C851" t="s">
        <v>7</v>
      </c>
      <c r="D851" t="s">
        <v>11</v>
      </c>
      <c r="E851" t="str">
        <f>"22.0208"</f>
        <v>22.0208</v>
      </c>
      <c r="F851" t="s">
        <v>826</v>
      </c>
    </row>
    <row r="852" spans="1:6" x14ac:dyDescent="0.25">
      <c r="A852" t="str">
        <f>"22.0209"</f>
        <v>22.0209</v>
      </c>
      <c r="B852" t="s">
        <v>827</v>
      </c>
      <c r="C852" t="s">
        <v>7</v>
      </c>
      <c r="D852" t="s">
        <v>11</v>
      </c>
      <c r="E852" t="str">
        <f>"22.0209"</f>
        <v>22.0209</v>
      </c>
      <c r="F852" t="s">
        <v>827</v>
      </c>
    </row>
    <row r="853" spans="1:6" x14ac:dyDescent="0.25">
      <c r="A853" t="str">
        <f>"22.0210"</f>
        <v>22.0210</v>
      </c>
      <c r="B853" t="s">
        <v>828</v>
      </c>
      <c r="C853" t="s">
        <v>7</v>
      </c>
      <c r="D853" t="s">
        <v>11</v>
      </c>
      <c r="E853" t="str">
        <f>"22.0210"</f>
        <v>22.0210</v>
      </c>
      <c r="F853" t="s">
        <v>828</v>
      </c>
    </row>
    <row r="854" spans="1:6" x14ac:dyDescent="0.25">
      <c r="A854" t="str">
        <f>"22.0211"</f>
        <v>22.0211</v>
      </c>
      <c r="B854" t="s">
        <v>829</v>
      </c>
      <c r="C854" t="s">
        <v>7</v>
      </c>
      <c r="D854" t="s">
        <v>11</v>
      </c>
      <c r="E854" t="str">
        <f>"22.0211"</f>
        <v>22.0211</v>
      </c>
      <c r="F854" t="s">
        <v>829</v>
      </c>
    </row>
    <row r="855" spans="1:6" x14ac:dyDescent="0.25">
      <c r="A855" t="str">
        <f>"22.0212"</f>
        <v>22.0212</v>
      </c>
      <c r="B855" t="s">
        <v>830</v>
      </c>
      <c r="C855" t="s">
        <v>7</v>
      </c>
      <c r="D855" t="s">
        <v>11</v>
      </c>
      <c r="E855" t="str">
        <f>"22.0212"</f>
        <v>22.0212</v>
      </c>
      <c r="F855" t="s">
        <v>830</v>
      </c>
    </row>
    <row r="856" spans="1:6" x14ac:dyDescent="0.25">
      <c r="C856" t="s">
        <v>26</v>
      </c>
      <c r="D856" t="s">
        <v>11</v>
      </c>
      <c r="E856" t="str">
        <f>"22.0213"</f>
        <v>22.0213</v>
      </c>
      <c r="F856" t="s">
        <v>831</v>
      </c>
    </row>
    <row r="857" spans="1:6" x14ac:dyDescent="0.25">
      <c r="C857" t="s">
        <v>26</v>
      </c>
      <c r="D857" t="s">
        <v>11</v>
      </c>
      <c r="E857" t="str">
        <f>"22.0214"</f>
        <v>22.0214</v>
      </c>
      <c r="F857" t="s">
        <v>832</v>
      </c>
    </row>
    <row r="858" spans="1:6" x14ac:dyDescent="0.25">
      <c r="C858" t="s">
        <v>26</v>
      </c>
      <c r="D858" t="s">
        <v>11</v>
      </c>
      <c r="E858" t="str">
        <f>"22.0215"</f>
        <v>22.0215</v>
      </c>
      <c r="F858" t="s">
        <v>833</v>
      </c>
    </row>
    <row r="859" spans="1:6" x14ac:dyDescent="0.25">
      <c r="C859" t="s">
        <v>26</v>
      </c>
      <c r="D859" t="s">
        <v>11</v>
      </c>
      <c r="E859" t="str">
        <f>"22.0216"</f>
        <v>22.0216</v>
      </c>
      <c r="F859" t="s">
        <v>834</v>
      </c>
    </row>
    <row r="860" spans="1:6" x14ac:dyDescent="0.25">
      <c r="C860" t="s">
        <v>26</v>
      </c>
      <c r="D860" t="s">
        <v>11</v>
      </c>
      <c r="E860" t="str">
        <f>"22.0217"</f>
        <v>22.0217</v>
      </c>
      <c r="F860" t="s">
        <v>835</v>
      </c>
    </row>
    <row r="861" spans="1:6" x14ac:dyDescent="0.25">
      <c r="C861" t="s">
        <v>26</v>
      </c>
      <c r="D861" t="s">
        <v>11</v>
      </c>
      <c r="E861" t="str">
        <f>"22.0218"</f>
        <v>22.0218</v>
      </c>
      <c r="F861" t="s">
        <v>836</v>
      </c>
    </row>
    <row r="862" spans="1:6" x14ac:dyDescent="0.25">
      <c r="C862" t="s">
        <v>26</v>
      </c>
      <c r="D862" t="s">
        <v>11</v>
      </c>
      <c r="E862" t="str">
        <f>"22.0219"</f>
        <v>22.0219</v>
      </c>
      <c r="F862" t="s">
        <v>837</v>
      </c>
    </row>
    <row r="863" spans="1:6" x14ac:dyDescent="0.25">
      <c r="C863" t="s">
        <v>26</v>
      </c>
      <c r="D863" t="s">
        <v>11</v>
      </c>
      <c r="E863" t="str">
        <f>"22.0220"</f>
        <v>22.0220</v>
      </c>
      <c r="F863" t="s">
        <v>838</v>
      </c>
    </row>
    <row r="864" spans="1:6" x14ac:dyDescent="0.25">
      <c r="C864" t="s">
        <v>26</v>
      </c>
      <c r="D864" t="s">
        <v>11</v>
      </c>
      <c r="E864" t="str">
        <f>"22.0221"</f>
        <v>22.0221</v>
      </c>
      <c r="F864" t="s">
        <v>839</v>
      </c>
    </row>
    <row r="865" spans="1:6" x14ac:dyDescent="0.25">
      <c r="C865" t="s">
        <v>26</v>
      </c>
      <c r="D865" t="s">
        <v>11</v>
      </c>
      <c r="E865" t="str">
        <f>"22.0222"</f>
        <v>22.0222</v>
      </c>
      <c r="F865" t="s">
        <v>840</v>
      </c>
    </row>
    <row r="866" spans="1:6" x14ac:dyDescent="0.25">
      <c r="C866" t="s">
        <v>26</v>
      </c>
      <c r="D866" t="s">
        <v>11</v>
      </c>
      <c r="E866" t="str">
        <f>"22.0223"</f>
        <v>22.0223</v>
      </c>
      <c r="F866" t="s">
        <v>841</v>
      </c>
    </row>
    <row r="867" spans="1:6" x14ac:dyDescent="0.25">
      <c r="C867" t="s">
        <v>26</v>
      </c>
      <c r="D867" t="s">
        <v>11</v>
      </c>
      <c r="E867" t="str">
        <f>"22.0224"</f>
        <v>22.0224</v>
      </c>
      <c r="F867" t="s">
        <v>842</v>
      </c>
    </row>
    <row r="868" spans="1:6" x14ac:dyDescent="0.25">
      <c r="A868" t="str">
        <f>"22.0299"</f>
        <v>22.0299</v>
      </c>
      <c r="B868" t="s">
        <v>843</v>
      </c>
      <c r="C868" t="s">
        <v>7</v>
      </c>
      <c r="D868" t="s">
        <v>11</v>
      </c>
      <c r="E868" t="str">
        <f>"22.0299"</f>
        <v>22.0299</v>
      </c>
      <c r="F868" t="s">
        <v>843</v>
      </c>
    </row>
    <row r="869" spans="1:6" x14ac:dyDescent="0.25">
      <c r="A869" t="str">
        <f>"22.03"</f>
        <v>22.03</v>
      </c>
      <c r="B869" t="s">
        <v>844</v>
      </c>
      <c r="C869" t="s">
        <v>7</v>
      </c>
      <c r="D869" t="s">
        <v>11</v>
      </c>
      <c r="E869" t="str">
        <f>"22.03"</f>
        <v>22.03</v>
      </c>
      <c r="F869" t="s">
        <v>844</v>
      </c>
    </row>
    <row r="870" spans="1:6" x14ac:dyDescent="0.25">
      <c r="A870" t="str">
        <f>"22.0301"</f>
        <v>22.0301</v>
      </c>
      <c r="B870" t="s">
        <v>845</v>
      </c>
      <c r="C870" t="s">
        <v>7</v>
      </c>
      <c r="D870" t="s">
        <v>11</v>
      </c>
      <c r="E870" t="str">
        <f>"22.0301"</f>
        <v>22.0301</v>
      </c>
      <c r="F870" t="s">
        <v>845</v>
      </c>
    </row>
    <row r="871" spans="1:6" x14ac:dyDescent="0.25">
      <c r="A871" t="str">
        <f>"22.0302"</f>
        <v>22.0302</v>
      </c>
      <c r="B871" t="s">
        <v>846</v>
      </c>
      <c r="C871" t="s">
        <v>7</v>
      </c>
      <c r="D871" t="s">
        <v>11</v>
      </c>
      <c r="E871" t="str">
        <f>"22.0302"</f>
        <v>22.0302</v>
      </c>
      <c r="F871" t="s">
        <v>846</v>
      </c>
    </row>
    <row r="872" spans="1:6" x14ac:dyDescent="0.25">
      <c r="A872" t="str">
        <f>"22.0303"</f>
        <v>22.0303</v>
      </c>
      <c r="B872" t="s">
        <v>847</v>
      </c>
      <c r="C872" t="s">
        <v>7</v>
      </c>
      <c r="D872" t="s">
        <v>8</v>
      </c>
      <c r="E872" t="str">
        <f>"22.0303"</f>
        <v>22.0303</v>
      </c>
      <c r="F872" t="s">
        <v>848</v>
      </c>
    </row>
    <row r="873" spans="1:6" x14ac:dyDescent="0.25">
      <c r="C873" t="s">
        <v>26</v>
      </c>
      <c r="D873" t="s">
        <v>11</v>
      </c>
      <c r="E873" t="str">
        <f>"22.0304"</f>
        <v>22.0304</v>
      </c>
      <c r="F873" t="s">
        <v>849</v>
      </c>
    </row>
    <row r="874" spans="1:6" x14ac:dyDescent="0.25">
      <c r="C874" t="s">
        <v>26</v>
      </c>
      <c r="D874" t="s">
        <v>11</v>
      </c>
      <c r="E874" t="str">
        <f>"22.0305"</f>
        <v>22.0305</v>
      </c>
      <c r="F874" t="s">
        <v>850</v>
      </c>
    </row>
    <row r="875" spans="1:6" x14ac:dyDescent="0.25">
      <c r="A875" t="str">
        <f>"22.0399"</f>
        <v>22.0399</v>
      </c>
      <c r="B875" t="s">
        <v>851</v>
      </c>
      <c r="C875" t="s">
        <v>7</v>
      </c>
      <c r="D875" t="s">
        <v>11</v>
      </c>
      <c r="E875" t="str">
        <f>"22.0399"</f>
        <v>22.0399</v>
      </c>
      <c r="F875" t="s">
        <v>851</v>
      </c>
    </row>
    <row r="876" spans="1:6" x14ac:dyDescent="0.25">
      <c r="A876" t="str">
        <f>"22.99"</f>
        <v>22.99</v>
      </c>
      <c r="B876" t="s">
        <v>852</v>
      </c>
      <c r="C876" t="s">
        <v>7</v>
      </c>
      <c r="D876" t="s">
        <v>11</v>
      </c>
      <c r="E876" t="str">
        <f>"22.99"</f>
        <v>22.99</v>
      </c>
      <c r="F876" t="s">
        <v>852</v>
      </c>
    </row>
    <row r="877" spans="1:6" x14ac:dyDescent="0.25">
      <c r="A877" t="str">
        <f>"22.9999"</f>
        <v>22.9999</v>
      </c>
      <c r="B877" t="s">
        <v>852</v>
      </c>
      <c r="C877" t="s">
        <v>7</v>
      </c>
      <c r="D877" t="s">
        <v>11</v>
      </c>
      <c r="E877" t="str">
        <f>"22.9999"</f>
        <v>22.9999</v>
      </c>
      <c r="F877" t="s">
        <v>852</v>
      </c>
    </row>
    <row r="878" spans="1:6" x14ac:dyDescent="0.25">
      <c r="A878" t="str">
        <f>"23"</f>
        <v>23</v>
      </c>
      <c r="B878" t="s">
        <v>853</v>
      </c>
      <c r="C878" t="s">
        <v>7</v>
      </c>
      <c r="D878" t="s">
        <v>11</v>
      </c>
      <c r="E878" t="str">
        <f>"23"</f>
        <v>23</v>
      </c>
      <c r="F878" t="s">
        <v>853</v>
      </c>
    </row>
    <row r="879" spans="1:6" x14ac:dyDescent="0.25">
      <c r="A879" t="str">
        <f>"23.01"</f>
        <v>23.01</v>
      </c>
      <c r="B879" t="s">
        <v>854</v>
      </c>
      <c r="C879" t="s">
        <v>7</v>
      </c>
      <c r="D879" t="s">
        <v>11</v>
      </c>
      <c r="E879" t="str">
        <f>"23.01"</f>
        <v>23.01</v>
      </c>
      <c r="F879" t="s">
        <v>854</v>
      </c>
    </row>
    <row r="880" spans="1:6" x14ac:dyDescent="0.25">
      <c r="A880" t="str">
        <f>"23.0101"</f>
        <v>23.0101</v>
      </c>
      <c r="B880" t="s">
        <v>854</v>
      </c>
      <c r="C880" t="s">
        <v>7</v>
      </c>
      <c r="D880" t="s">
        <v>11</v>
      </c>
      <c r="E880" t="str">
        <f>"23.0101"</f>
        <v>23.0101</v>
      </c>
      <c r="F880" t="s">
        <v>854</v>
      </c>
    </row>
    <row r="881" spans="1:6" x14ac:dyDescent="0.25">
      <c r="A881" t="str">
        <f>"23.13"</f>
        <v>23.13</v>
      </c>
      <c r="B881" t="s">
        <v>855</v>
      </c>
      <c r="C881" t="s">
        <v>7</v>
      </c>
      <c r="D881" t="s">
        <v>11</v>
      </c>
      <c r="E881" t="str">
        <f>"23.13"</f>
        <v>23.13</v>
      </c>
      <c r="F881" t="s">
        <v>855</v>
      </c>
    </row>
    <row r="882" spans="1:6" x14ac:dyDescent="0.25">
      <c r="A882" t="str">
        <f>"23.1301"</f>
        <v>23.1301</v>
      </c>
      <c r="B882" t="s">
        <v>856</v>
      </c>
      <c r="C882" t="s">
        <v>7</v>
      </c>
      <c r="D882" t="s">
        <v>11</v>
      </c>
      <c r="E882" t="str">
        <f>"23.1301"</f>
        <v>23.1301</v>
      </c>
      <c r="F882" t="s">
        <v>856</v>
      </c>
    </row>
    <row r="883" spans="1:6" x14ac:dyDescent="0.25">
      <c r="A883" t="str">
        <f>"23.1302"</f>
        <v>23.1302</v>
      </c>
      <c r="B883" t="s">
        <v>857</v>
      </c>
      <c r="C883" t="s">
        <v>7</v>
      </c>
      <c r="D883" t="s">
        <v>11</v>
      </c>
      <c r="E883" t="str">
        <f>"23.1302"</f>
        <v>23.1302</v>
      </c>
      <c r="F883" t="s">
        <v>857</v>
      </c>
    </row>
    <row r="884" spans="1:6" x14ac:dyDescent="0.25">
      <c r="A884" t="str">
        <f>"23.1303"</f>
        <v>23.1303</v>
      </c>
      <c r="B884" t="s">
        <v>858</v>
      </c>
      <c r="C884" t="s">
        <v>7</v>
      </c>
      <c r="D884" t="s">
        <v>11</v>
      </c>
      <c r="E884" t="str">
        <f>"23.1303"</f>
        <v>23.1303</v>
      </c>
      <c r="F884" t="s">
        <v>858</v>
      </c>
    </row>
    <row r="885" spans="1:6" x14ac:dyDescent="0.25">
      <c r="A885" t="str">
        <f>"23.1304"</f>
        <v>23.1304</v>
      </c>
      <c r="B885" t="s">
        <v>859</v>
      </c>
      <c r="C885" t="s">
        <v>7</v>
      </c>
      <c r="D885" t="s">
        <v>11</v>
      </c>
      <c r="E885" t="str">
        <f>"23.1304"</f>
        <v>23.1304</v>
      </c>
      <c r="F885" t="s">
        <v>859</v>
      </c>
    </row>
    <row r="886" spans="1:6" x14ac:dyDescent="0.25">
      <c r="A886" t="str">
        <f>"23.1399"</f>
        <v>23.1399</v>
      </c>
      <c r="B886" t="s">
        <v>860</v>
      </c>
      <c r="C886" t="s">
        <v>7</v>
      </c>
      <c r="D886" t="s">
        <v>11</v>
      </c>
      <c r="E886" t="str">
        <f>"23.1399"</f>
        <v>23.1399</v>
      </c>
      <c r="F886" t="s">
        <v>860</v>
      </c>
    </row>
    <row r="887" spans="1:6" x14ac:dyDescent="0.25">
      <c r="A887" t="str">
        <f>"23.14"</f>
        <v>23.14</v>
      </c>
      <c r="B887" t="s">
        <v>861</v>
      </c>
      <c r="C887" t="s">
        <v>7</v>
      </c>
      <c r="D887" t="s">
        <v>11</v>
      </c>
      <c r="E887" t="str">
        <f>"23.14"</f>
        <v>23.14</v>
      </c>
      <c r="F887" t="s">
        <v>861</v>
      </c>
    </row>
    <row r="888" spans="1:6" x14ac:dyDescent="0.25">
      <c r="A888" t="str">
        <f>"23.1401"</f>
        <v>23.1401</v>
      </c>
      <c r="B888" t="s">
        <v>862</v>
      </c>
      <c r="C888" t="s">
        <v>7</v>
      </c>
      <c r="D888" t="s">
        <v>11</v>
      </c>
      <c r="E888" t="str">
        <f>"23.1401"</f>
        <v>23.1401</v>
      </c>
      <c r="F888" t="s">
        <v>862</v>
      </c>
    </row>
    <row r="889" spans="1:6" x14ac:dyDescent="0.25">
      <c r="A889" t="str">
        <f>"23.1402"</f>
        <v>23.1402</v>
      </c>
      <c r="B889" t="s">
        <v>863</v>
      </c>
      <c r="C889" t="s">
        <v>7</v>
      </c>
      <c r="D889" t="s">
        <v>11</v>
      </c>
      <c r="E889" t="str">
        <f>"23.1402"</f>
        <v>23.1402</v>
      </c>
      <c r="F889" t="s">
        <v>863</v>
      </c>
    </row>
    <row r="890" spans="1:6" x14ac:dyDescent="0.25">
      <c r="A890" t="str">
        <f>"23.1403"</f>
        <v>23.1403</v>
      </c>
      <c r="B890" t="s">
        <v>864</v>
      </c>
      <c r="C890" t="s">
        <v>7</v>
      </c>
      <c r="D890" t="s">
        <v>11</v>
      </c>
      <c r="E890" t="str">
        <f>"23.1403"</f>
        <v>23.1403</v>
      </c>
      <c r="F890" t="s">
        <v>864</v>
      </c>
    </row>
    <row r="891" spans="1:6" x14ac:dyDescent="0.25">
      <c r="A891" t="str">
        <f>"23.1404"</f>
        <v>23.1404</v>
      </c>
      <c r="B891" t="s">
        <v>865</v>
      </c>
      <c r="C891" t="s">
        <v>7</v>
      </c>
      <c r="D891" t="s">
        <v>11</v>
      </c>
      <c r="E891" t="str">
        <f>"23.1404"</f>
        <v>23.1404</v>
      </c>
      <c r="F891" t="s">
        <v>865</v>
      </c>
    </row>
    <row r="892" spans="1:6" x14ac:dyDescent="0.25">
      <c r="A892" t="str">
        <f>"23.1405"</f>
        <v>23.1405</v>
      </c>
      <c r="B892" t="s">
        <v>866</v>
      </c>
      <c r="C892" t="s">
        <v>7</v>
      </c>
      <c r="D892" t="s">
        <v>11</v>
      </c>
      <c r="E892" t="str">
        <f>"23.1405"</f>
        <v>23.1405</v>
      </c>
      <c r="F892" t="s">
        <v>866</v>
      </c>
    </row>
    <row r="893" spans="1:6" x14ac:dyDescent="0.25">
      <c r="A893" t="str">
        <f>"23.1499"</f>
        <v>23.1499</v>
      </c>
      <c r="B893" t="s">
        <v>867</v>
      </c>
      <c r="C893" t="s">
        <v>7</v>
      </c>
      <c r="D893" t="s">
        <v>11</v>
      </c>
      <c r="E893" t="str">
        <f>"23.1499"</f>
        <v>23.1499</v>
      </c>
      <c r="F893" t="s">
        <v>867</v>
      </c>
    </row>
    <row r="894" spans="1:6" x14ac:dyDescent="0.25">
      <c r="A894" t="str">
        <f>"23.99"</f>
        <v>23.99</v>
      </c>
      <c r="B894" t="s">
        <v>868</v>
      </c>
      <c r="C894" t="s">
        <v>7</v>
      </c>
      <c r="D894" t="s">
        <v>11</v>
      </c>
      <c r="E894" t="str">
        <f>"23.99"</f>
        <v>23.99</v>
      </c>
      <c r="F894" t="s">
        <v>868</v>
      </c>
    </row>
    <row r="895" spans="1:6" x14ac:dyDescent="0.25">
      <c r="A895" t="str">
        <f>"23.9999"</f>
        <v>23.9999</v>
      </c>
      <c r="B895" t="s">
        <v>868</v>
      </c>
      <c r="C895" t="s">
        <v>7</v>
      </c>
      <c r="D895" t="s">
        <v>11</v>
      </c>
      <c r="E895" t="str">
        <f>"23.9999"</f>
        <v>23.9999</v>
      </c>
      <c r="F895" t="s">
        <v>868</v>
      </c>
    </row>
    <row r="896" spans="1:6" x14ac:dyDescent="0.25">
      <c r="A896" t="str">
        <f>"24"</f>
        <v>24</v>
      </c>
      <c r="B896" t="s">
        <v>869</v>
      </c>
      <c r="C896" t="s">
        <v>7</v>
      </c>
      <c r="D896" t="s">
        <v>11</v>
      </c>
      <c r="E896" t="str">
        <f>"24"</f>
        <v>24</v>
      </c>
      <c r="F896" t="s">
        <v>869</v>
      </c>
    </row>
    <row r="897" spans="1:6" x14ac:dyDescent="0.25">
      <c r="A897" t="str">
        <f>"24.01"</f>
        <v>24.01</v>
      </c>
      <c r="B897" t="s">
        <v>870</v>
      </c>
      <c r="C897" t="s">
        <v>7</v>
      </c>
      <c r="D897" t="s">
        <v>11</v>
      </c>
      <c r="E897" t="str">
        <f>"24.01"</f>
        <v>24.01</v>
      </c>
      <c r="F897" t="s">
        <v>870</v>
      </c>
    </row>
    <row r="898" spans="1:6" x14ac:dyDescent="0.25">
      <c r="A898" t="str">
        <f>"24.0101"</f>
        <v>24.0101</v>
      </c>
      <c r="B898" t="s">
        <v>871</v>
      </c>
      <c r="C898" t="s">
        <v>7</v>
      </c>
      <c r="D898" t="s">
        <v>11</v>
      </c>
      <c r="E898" t="str">
        <f>"24.0101"</f>
        <v>24.0101</v>
      </c>
      <c r="F898" t="s">
        <v>871</v>
      </c>
    </row>
    <row r="899" spans="1:6" x14ac:dyDescent="0.25">
      <c r="A899" t="str">
        <f>"24.0102"</f>
        <v>24.0102</v>
      </c>
      <c r="B899" t="s">
        <v>872</v>
      </c>
      <c r="C899" t="s">
        <v>7</v>
      </c>
      <c r="D899" t="s">
        <v>11</v>
      </c>
      <c r="E899" t="str">
        <f>"24.0102"</f>
        <v>24.0102</v>
      </c>
      <c r="F899" t="s">
        <v>872</v>
      </c>
    </row>
    <row r="900" spans="1:6" x14ac:dyDescent="0.25">
      <c r="A900" t="str">
        <f>"24.0103"</f>
        <v>24.0103</v>
      </c>
      <c r="B900" t="s">
        <v>873</v>
      </c>
      <c r="C900" t="s">
        <v>7</v>
      </c>
      <c r="D900" t="s">
        <v>11</v>
      </c>
      <c r="E900" t="str">
        <f>"24.0103"</f>
        <v>24.0103</v>
      </c>
      <c r="F900" t="s">
        <v>873</v>
      </c>
    </row>
    <row r="901" spans="1:6" x14ac:dyDescent="0.25">
      <c r="A901" t="str">
        <f>"24.0199"</f>
        <v>24.0199</v>
      </c>
      <c r="B901" t="s">
        <v>874</v>
      </c>
      <c r="C901" t="s">
        <v>7</v>
      </c>
      <c r="D901" t="s">
        <v>11</v>
      </c>
      <c r="E901" t="str">
        <f>"24.0199"</f>
        <v>24.0199</v>
      </c>
      <c r="F901" t="s">
        <v>874</v>
      </c>
    </row>
    <row r="902" spans="1:6" x14ac:dyDescent="0.25">
      <c r="A902" t="str">
        <f>"25"</f>
        <v>25</v>
      </c>
      <c r="B902" t="s">
        <v>875</v>
      </c>
      <c r="C902" t="s">
        <v>7</v>
      </c>
      <c r="D902" t="s">
        <v>11</v>
      </c>
      <c r="E902" t="str">
        <f>"25"</f>
        <v>25</v>
      </c>
      <c r="F902" t="s">
        <v>875</v>
      </c>
    </row>
    <row r="903" spans="1:6" x14ac:dyDescent="0.25">
      <c r="A903" t="str">
        <f>"25.01"</f>
        <v>25.01</v>
      </c>
      <c r="B903" t="s">
        <v>876</v>
      </c>
      <c r="C903" t="s">
        <v>7</v>
      </c>
      <c r="D903" t="s">
        <v>11</v>
      </c>
      <c r="E903" t="str">
        <f>"25.01"</f>
        <v>25.01</v>
      </c>
      <c r="F903" t="s">
        <v>876</v>
      </c>
    </row>
    <row r="904" spans="1:6" x14ac:dyDescent="0.25">
      <c r="A904" t="str">
        <f>"25.0101"</f>
        <v>25.0101</v>
      </c>
      <c r="B904" t="s">
        <v>877</v>
      </c>
      <c r="C904" t="s">
        <v>7</v>
      </c>
      <c r="D904" t="s">
        <v>11</v>
      </c>
      <c r="E904" t="str">
        <f>"25.0101"</f>
        <v>25.0101</v>
      </c>
      <c r="F904" t="s">
        <v>877</v>
      </c>
    </row>
    <row r="905" spans="1:6" x14ac:dyDescent="0.25">
      <c r="A905" t="str">
        <f>"25.0102"</f>
        <v>25.0102</v>
      </c>
      <c r="B905" t="s">
        <v>878</v>
      </c>
      <c r="C905" t="s">
        <v>7</v>
      </c>
      <c r="D905" t="s">
        <v>11</v>
      </c>
      <c r="E905" t="str">
        <f>"25.0102"</f>
        <v>25.0102</v>
      </c>
      <c r="F905" t="s">
        <v>878</v>
      </c>
    </row>
    <row r="906" spans="1:6" x14ac:dyDescent="0.25">
      <c r="A906" t="str">
        <f>"25.0103"</f>
        <v>25.0103</v>
      </c>
      <c r="B906" t="s">
        <v>879</v>
      </c>
      <c r="C906" t="s">
        <v>7</v>
      </c>
      <c r="D906" t="s">
        <v>11</v>
      </c>
      <c r="E906" t="str">
        <f>"25.0103"</f>
        <v>25.0103</v>
      </c>
      <c r="F906" t="s">
        <v>879</v>
      </c>
    </row>
    <row r="907" spans="1:6" x14ac:dyDescent="0.25">
      <c r="A907" t="str">
        <f>"25.0199"</f>
        <v>25.0199</v>
      </c>
      <c r="B907" t="s">
        <v>880</v>
      </c>
      <c r="C907" t="s">
        <v>7</v>
      </c>
      <c r="D907" t="s">
        <v>11</v>
      </c>
      <c r="E907" t="str">
        <f>"25.0199"</f>
        <v>25.0199</v>
      </c>
      <c r="F907" t="s">
        <v>880</v>
      </c>
    </row>
    <row r="908" spans="1:6" x14ac:dyDescent="0.25">
      <c r="A908" t="str">
        <f>"25.03"</f>
        <v>25.03</v>
      </c>
      <c r="B908" t="s">
        <v>881</v>
      </c>
      <c r="C908" t="s">
        <v>7</v>
      </c>
      <c r="D908" t="s">
        <v>11</v>
      </c>
      <c r="E908" t="str">
        <f>"25.03"</f>
        <v>25.03</v>
      </c>
      <c r="F908" t="s">
        <v>881</v>
      </c>
    </row>
    <row r="909" spans="1:6" x14ac:dyDescent="0.25">
      <c r="A909" t="str">
        <f>"25.0301"</f>
        <v>25.0301</v>
      </c>
      <c r="B909" t="s">
        <v>881</v>
      </c>
      <c r="C909" t="s">
        <v>7</v>
      </c>
      <c r="D909" t="s">
        <v>11</v>
      </c>
      <c r="E909" t="str">
        <f>"25.0301"</f>
        <v>25.0301</v>
      </c>
      <c r="F909" t="s">
        <v>881</v>
      </c>
    </row>
    <row r="910" spans="1:6" x14ac:dyDescent="0.25">
      <c r="A910" t="str">
        <f>"25.99"</f>
        <v>25.99</v>
      </c>
      <c r="B910" t="s">
        <v>882</v>
      </c>
      <c r="C910" t="s">
        <v>7</v>
      </c>
      <c r="D910" t="s">
        <v>11</v>
      </c>
      <c r="E910" t="str">
        <f>"25.99"</f>
        <v>25.99</v>
      </c>
      <c r="F910" t="s">
        <v>882</v>
      </c>
    </row>
    <row r="911" spans="1:6" x14ac:dyDescent="0.25">
      <c r="A911" t="str">
        <f>"25.9999"</f>
        <v>25.9999</v>
      </c>
      <c r="B911" t="s">
        <v>882</v>
      </c>
      <c r="C911" t="s">
        <v>7</v>
      </c>
      <c r="D911" t="s">
        <v>11</v>
      </c>
      <c r="E911" t="str">
        <f>"25.9999"</f>
        <v>25.9999</v>
      </c>
      <c r="F911" t="s">
        <v>882</v>
      </c>
    </row>
    <row r="912" spans="1:6" x14ac:dyDescent="0.25">
      <c r="A912" t="str">
        <f>"26"</f>
        <v>26</v>
      </c>
      <c r="B912" t="s">
        <v>883</v>
      </c>
      <c r="C912" t="s">
        <v>7</v>
      </c>
      <c r="D912" t="s">
        <v>11</v>
      </c>
      <c r="E912" t="str">
        <f>"26"</f>
        <v>26</v>
      </c>
      <c r="F912" t="s">
        <v>883</v>
      </c>
    </row>
    <row r="913" spans="1:6" x14ac:dyDescent="0.25">
      <c r="A913" t="str">
        <f>"26.01"</f>
        <v>26.01</v>
      </c>
      <c r="B913" t="s">
        <v>884</v>
      </c>
      <c r="C913" t="s">
        <v>7</v>
      </c>
      <c r="D913" t="s">
        <v>11</v>
      </c>
      <c r="E913" t="str">
        <f>"26.01"</f>
        <v>26.01</v>
      </c>
      <c r="F913" t="s">
        <v>884</v>
      </c>
    </row>
    <row r="914" spans="1:6" x14ac:dyDescent="0.25">
      <c r="A914" t="str">
        <f>"26.0101"</f>
        <v>26.0101</v>
      </c>
      <c r="B914" t="s">
        <v>885</v>
      </c>
      <c r="C914" t="s">
        <v>7</v>
      </c>
      <c r="D914" t="s">
        <v>11</v>
      </c>
      <c r="E914" t="str">
        <f>"26.0101"</f>
        <v>26.0101</v>
      </c>
      <c r="F914" t="s">
        <v>885</v>
      </c>
    </row>
    <row r="915" spans="1:6" x14ac:dyDescent="0.25">
      <c r="A915" t="str">
        <f>"26.0102"</f>
        <v>26.0102</v>
      </c>
      <c r="B915" t="s">
        <v>886</v>
      </c>
      <c r="C915" t="s">
        <v>7</v>
      </c>
      <c r="D915" t="s">
        <v>11</v>
      </c>
      <c r="E915" t="str">
        <f>"26.0102"</f>
        <v>26.0102</v>
      </c>
      <c r="F915" t="s">
        <v>886</v>
      </c>
    </row>
    <row r="916" spans="1:6" x14ac:dyDescent="0.25">
      <c r="A916" t="str">
        <f>"26.02"</f>
        <v>26.02</v>
      </c>
      <c r="B916" t="s">
        <v>887</v>
      </c>
      <c r="C916" t="s">
        <v>7</v>
      </c>
      <c r="D916" t="s">
        <v>11</v>
      </c>
      <c r="E916" t="str">
        <f>"26.02"</f>
        <v>26.02</v>
      </c>
      <c r="F916" t="s">
        <v>887</v>
      </c>
    </row>
    <row r="917" spans="1:6" x14ac:dyDescent="0.25">
      <c r="A917" t="str">
        <f>"26.0202"</f>
        <v>26.0202</v>
      </c>
      <c r="B917" t="s">
        <v>888</v>
      </c>
      <c r="C917" t="s">
        <v>7</v>
      </c>
      <c r="D917" t="s">
        <v>11</v>
      </c>
      <c r="E917" t="str">
        <f>"26.0202"</f>
        <v>26.0202</v>
      </c>
      <c r="F917" t="s">
        <v>888</v>
      </c>
    </row>
    <row r="918" spans="1:6" x14ac:dyDescent="0.25">
      <c r="A918" t="str">
        <f>"26.0203"</f>
        <v>26.0203</v>
      </c>
      <c r="B918" t="s">
        <v>889</v>
      </c>
      <c r="C918" t="s">
        <v>7</v>
      </c>
      <c r="D918" t="s">
        <v>11</v>
      </c>
      <c r="E918" t="str">
        <f>"26.0203"</f>
        <v>26.0203</v>
      </c>
      <c r="F918" t="s">
        <v>889</v>
      </c>
    </row>
    <row r="919" spans="1:6" x14ac:dyDescent="0.25">
      <c r="A919" t="str">
        <f>"26.0204"</f>
        <v>26.0204</v>
      </c>
      <c r="B919" t="s">
        <v>890</v>
      </c>
      <c r="C919" t="s">
        <v>7</v>
      </c>
      <c r="D919" t="s">
        <v>11</v>
      </c>
      <c r="E919" t="str">
        <f>"26.0204"</f>
        <v>26.0204</v>
      </c>
      <c r="F919" t="s">
        <v>890</v>
      </c>
    </row>
    <row r="920" spans="1:6" x14ac:dyDescent="0.25">
      <c r="A920" t="str">
        <f>"26.0205"</f>
        <v>26.0205</v>
      </c>
      <c r="B920" t="s">
        <v>891</v>
      </c>
      <c r="C920" t="s">
        <v>7</v>
      </c>
      <c r="D920" t="s">
        <v>11</v>
      </c>
      <c r="E920" t="str">
        <f>"26.0205"</f>
        <v>26.0205</v>
      </c>
      <c r="F920" t="s">
        <v>891</v>
      </c>
    </row>
    <row r="921" spans="1:6" x14ac:dyDescent="0.25">
      <c r="A921" t="str">
        <f>"26.0206"</f>
        <v>26.0206</v>
      </c>
      <c r="B921" t="s">
        <v>892</v>
      </c>
      <c r="C921" t="s">
        <v>7</v>
      </c>
      <c r="D921" t="s">
        <v>11</v>
      </c>
      <c r="E921" t="str">
        <f>"26.0206"</f>
        <v>26.0206</v>
      </c>
      <c r="F921" t="s">
        <v>892</v>
      </c>
    </row>
    <row r="922" spans="1:6" x14ac:dyDescent="0.25">
      <c r="A922" t="str">
        <f>"26.0207"</f>
        <v>26.0207</v>
      </c>
      <c r="B922" t="s">
        <v>893</v>
      </c>
      <c r="C922" t="s">
        <v>7</v>
      </c>
      <c r="D922" t="s">
        <v>11</v>
      </c>
      <c r="E922" t="str">
        <f>"26.0207"</f>
        <v>26.0207</v>
      </c>
      <c r="F922" t="s">
        <v>893</v>
      </c>
    </row>
    <row r="923" spans="1:6" x14ac:dyDescent="0.25">
      <c r="A923" t="str">
        <f>"26.0208"</f>
        <v>26.0208</v>
      </c>
      <c r="B923" t="s">
        <v>894</v>
      </c>
      <c r="C923" t="s">
        <v>7</v>
      </c>
      <c r="D923" t="s">
        <v>11</v>
      </c>
      <c r="E923" t="str">
        <f>"26.0208"</f>
        <v>26.0208</v>
      </c>
      <c r="F923" t="s">
        <v>894</v>
      </c>
    </row>
    <row r="924" spans="1:6" x14ac:dyDescent="0.25">
      <c r="A924" t="str">
        <f>"26.0209"</f>
        <v>26.0209</v>
      </c>
      <c r="B924" t="s">
        <v>895</v>
      </c>
      <c r="C924" t="s">
        <v>7</v>
      </c>
      <c r="D924" t="s">
        <v>11</v>
      </c>
      <c r="E924" t="str">
        <f>"26.0209"</f>
        <v>26.0209</v>
      </c>
      <c r="F924" t="s">
        <v>895</v>
      </c>
    </row>
    <row r="925" spans="1:6" x14ac:dyDescent="0.25">
      <c r="A925" t="str">
        <f>"26.0210"</f>
        <v>26.0210</v>
      </c>
      <c r="B925" t="s">
        <v>896</v>
      </c>
      <c r="C925" t="s">
        <v>7</v>
      </c>
      <c r="D925" t="s">
        <v>11</v>
      </c>
      <c r="E925" t="str">
        <f>"26.0210"</f>
        <v>26.0210</v>
      </c>
      <c r="F925" t="s">
        <v>896</v>
      </c>
    </row>
    <row r="926" spans="1:6" x14ac:dyDescent="0.25">
      <c r="A926" t="str">
        <f>"26.0299"</f>
        <v>26.0299</v>
      </c>
      <c r="B926" t="s">
        <v>897</v>
      </c>
      <c r="C926" t="s">
        <v>7</v>
      </c>
      <c r="D926" t="s">
        <v>11</v>
      </c>
      <c r="E926" t="str">
        <f>"26.0299"</f>
        <v>26.0299</v>
      </c>
      <c r="F926" t="s">
        <v>897</v>
      </c>
    </row>
    <row r="927" spans="1:6" x14ac:dyDescent="0.25">
      <c r="A927" t="str">
        <f>"26.03"</f>
        <v>26.03</v>
      </c>
      <c r="B927" t="s">
        <v>898</v>
      </c>
      <c r="C927" t="s">
        <v>7</v>
      </c>
      <c r="D927" t="s">
        <v>11</v>
      </c>
      <c r="E927" t="str">
        <f>"26.03"</f>
        <v>26.03</v>
      </c>
      <c r="F927" t="s">
        <v>898</v>
      </c>
    </row>
    <row r="928" spans="1:6" x14ac:dyDescent="0.25">
      <c r="A928" t="str">
        <f>"26.0301"</f>
        <v>26.0301</v>
      </c>
      <c r="B928" t="s">
        <v>898</v>
      </c>
      <c r="C928" t="s">
        <v>7</v>
      </c>
      <c r="D928" t="s">
        <v>11</v>
      </c>
      <c r="E928" t="str">
        <f>"26.0301"</f>
        <v>26.0301</v>
      </c>
      <c r="F928" t="s">
        <v>898</v>
      </c>
    </row>
    <row r="929" spans="1:6" x14ac:dyDescent="0.25">
      <c r="A929" t="str">
        <f>"26.0305"</f>
        <v>26.0305</v>
      </c>
      <c r="B929" t="s">
        <v>899</v>
      </c>
      <c r="C929" t="s">
        <v>7</v>
      </c>
      <c r="D929" t="s">
        <v>11</v>
      </c>
      <c r="E929" t="str">
        <f>"26.0305"</f>
        <v>26.0305</v>
      </c>
      <c r="F929" t="s">
        <v>899</v>
      </c>
    </row>
    <row r="930" spans="1:6" x14ac:dyDescent="0.25">
      <c r="A930" t="str">
        <f>"26.0307"</f>
        <v>26.0307</v>
      </c>
      <c r="B930" t="s">
        <v>900</v>
      </c>
      <c r="C930" t="s">
        <v>7</v>
      </c>
      <c r="D930" t="s">
        <v>11</v>
      </c>
      <c r="E930" t="str">
        <f>"26.0307"</f>
        <v>26.0307</v>
      </c>
      <c r="F930" t="s">
        <v>900</v>
      </c>
    </row>
    <row r="931" spans="1:6" x14ac:dyDescent="0.25">
      <c r="A931" t="str">
        <f>"26.0308"</f>
        <v>26.0308</v>
      </c>
      <c r="B931" t="s">
        <v>901</v>
      </c>
      <c r="C931" t="s">
        <v>7</v>
      </c>
      <c r="D931" t="s">
        <v>11</v>
      </c>
      <c r="E931" t="str">
        <f>"26.0308"</f>
        <v>26.0308</v>
      </c>
      <c r="F931" t="s">
        <v>901</v>
      </c>
    </row>
    <row r="932" spans="1:6" x14ac:dyDescent="0.25">
      <c r="A932" t="str">
        <f>"26.0399"</f>
        <v>26.0399</v>
      </c>
      <c r="B932" t="s">
        <v>902</v>
      </c>
      <c r="C932" t="s">
        <v>7</v>
      </c>
      <c r="D932" t="s">
        <v>11</v>
      </c>
      <c r="E932" t="str">
        <f>"26.0399"</f>
        <v>26.0399</v>
      </c>
      <c r="F932" t="s">
        <v>902</v>
      </c>
    </row>
    <row r="933" spans="1:6" x14ac:dyDescent="0.25">
      <c r="A933" t="str">
        <f>"26.04"</f>
        <v>26.04</v>
      </c>
      <c r="B933" t="s">
        <v>903</v>
      </c>
      <c r="C933" t="s">
        <v>7</v>
      </c>
      <c r="D933" t="s">
        <v>11</v>
      </c>
      <c r="E933" t="str">
        <f>"26.04"</f>
        <v>26.04</v>
      </c>
      <c r="F933" t="s">
        <v>903</v>
      </c>
    </row>
    <row r="934" spans="1:6" x14ac:dyDescent="0.25">
      <c r="A934" t="str">
        <f>"26.0401"</f>
        <v>26.0401</v>
      </c>
      <c r="B934" t="s">
        <v>904</v>
      </c>
      <c r="C934" t="s">
        <v>7</v>
      </c>
      <c r="D934" t="s">
        <v>11</v>
      </c>
      <c r="E934" t="str">
        <f>"26.0401"</f>
        <v>26.0401</v>
      </c>
      <c r="F934" t="s">
        <v>904</v>
      </c>
    </row>
    <row r="935" spans="1:6" x14ac:dyDescent="0.25">
      <c r="A935" t="str">
        <f>"26.0403"</f>
        <v>26.0403</v>
      </c>
      <c r="B935" t="s">
        <v>905</v>
      </c>
      <c r="C935" t="s">
        <v>7</v>
      </c>
      <c r="D935" t="s">
        <v>11</v>
      </c>
      <c r="E935" t="str">
        <f>"26.0403"</f>
        <v>26.0403</v>
      </c>
      <c r="F935" t="s">
        <v>905</v>
      </c>
    </row>
    <row r="936" spans="1:6" x14ac:dyDescent="0.25">
      <c r="A936" t="str">
        <f>"26.0404"</f>
        <v>26.0404</v>
      </c>
      <c r="B936" t="s">
        <v>906</v>
      </c>
      <c r="C936" t="s">
        <v>7</v>
      </c>
      <c r="D936" t="s">
        <v>11</v>
      </c>
      <c r="E936" t="str">
        <f>"26.0404"</f>
        <v>26.0404</v>
      </c>
      <c r="F936" t="s">
        <v>906</v>
      </c>
    </row>
    <row r="937" spans="1:6" x14ac:dyDescent="0.25">
      <c r="A937" t="str">
        <f>"26.0406"</f>
        <v>26.0406</v>
      </c>
      <c r="B937" t="s">
        <v>907</v>
      </c>
      <c r="C937" t="s">
        <v>7</v>
      </c>
      <c r="D937" t="s">
        <v>11</v>
      </c>
      <c r="E937" t="str">
        <f>"26.0406"</f>
        <v>26.0406</v>
      </c>
      <c r="F937" t="s">
        <v>907</v>
      </c>
    </row>
    <row r="938" spans="1:6" x14ac:dyDescent="0.25">
      <c r="A938" t="str">
        <f>"26.0407"</f>
        <v>26.0407</v>
      </c>
      <c r="B938" t="s">
        <v>908</v>
      </c>
      <c r="C938" t="s">
        <v>7</v>
      </c>
      <c r="D938" t="s">
        <v>11</v>
      </c>
      <c r="E938" t="str">
        <f>"26.0407"</f>
        <v>26.0407</v>
      </c>
      <c r="F938" t="s">
        <v>908</v>
      </c>
    </row>
    <row r="939" spans="1:6" x14ac:dyDescent="0.25">
      <c r="A939" t="str">
        <f>"26.0499"</f>
        <v>26.0499</v>
      </c>
      <c r="B939" t="s">
        <v>909</v>
      </c>
      <c r="C939" t="s">
        <v>7</v>
      </c>
      <c r="D939" t="s">
        <v>11</v>
      </c>
      <c r="E939" t="str">
        <f>"26.0499"</f>
        <v>26.0499</v>
      </c>
      <c r="F939" t="s">
        <v>909</v>
      </c>
    </row>
    <row r="940" spans="1:6" x14ac:dyDescent="0.25">
      <c r="A940" t="str">
        <f>"26.05"</f>
        <v>26.05</v>
      </c>
      <c r="B940" t="s">
        <v>910</v>
      </c>
      <c r="C940" t="s">
        <v>7</v>
      </c>
      <c r="D940" t="s">
        <v>11</v>
      </c>
      <c r="E940" t="str">
        <f>"26.05"</f>
        <v>26.05</v>
      </c>
      <c r="F940" t="s">
        <v>910</v>
      </c>
    </row>
    <row r="941" spans="1:6" x14ac:dyDescent="0.25">
      <c r="A941" t="str">
        <f>"26.0502"</f>
        <v>26.0502</v>
      </c>
      <c r="B941" t="s">
        <v>911</v>
      </c>
      <c r="C941" t="s">
        <v>7</v>
      </c>
      <c r="D941" t="s">
        <v>11</v>
      </c>
      <c r="E941" t="str">
        <f>"26.0502"</f>
        <v>26.0502</v>
      </c>
      <c r="F941" t="s">
        <v>911</v>
      </c>
    </row>
    <row r="942" spans="1:6" x14ac:dyDescent="0.25">
      <c r="A942" t="str">
        <f>"26.0503"</f>
        <v>26.0503</v>
      </c>
      <c r="B942" t="s">
        <v>912</v>
      </c>
      <c r="C942" t="s">
        <v>7</v>
      </c>
      <c r="D942" t="s">
        <v>11</v>
      </c>
      <c r="E942" t="str">
        <f>"26.0503"</f>
        <v>26.0503</v>
      </c>
      <c r="F942" t="s">
        <v>912</v>
      </c>
    </row>
    <row r="943" spans="1:6" x14ac:dyDescent="0.25">
      <c r="A943" t="str">
        <f>"26.0504"</f>
        <v>26.0504</v>
      </c>
      <c r="B943" t="s">
        <v>913</v>
      </c>
      <c r="C943" t="s">
        <v>7</v>
      </c>
      <c r="D943" t="s">
        <v>11</v>
      </c>
      <c r="E943" t="str">
        <f>"26.0504"</f>
        <v>26.0504</v>
      </c>
      <c r="F943" t="s">
        <v>913</v>
      </c>
    </row>
    <row r="944" spans="1:6" x14ac:dyDescent="0.25">
      <c r="A944" t="str">
        <f>"26.0505"</f>
        <v>26.0505</v>
      </c>
      <c r="B944" t="s">
        <v>914</v>
      </c>
      <c r="C944" t="s">
        <v>7</v>
      </c>
      <c r="D944" t="s">
        <v>11</v>
      </c>
      <c r="E944" t="str">
        <f>"26.0505"</f>
        <v>26.0505</v>
      </c>
      <c r="F944" t="s">
        <v>914</v>
      </c>
    </row>
    <row r="945" spans="1:6" x14ac:dyDescent="0.25">
      <c r="A945" t="str">
        <f>"26.0506"</f>
        <v>26.0506</v>
      </c>
      <c r="B945" t="s">
        <v>915</v>
      </c>
      <c r="C945" t="s">
        <v>7</v>
      </c>
      <c r="D945" t="s">
        <v>11</v>
      </c>
      <c r="E945" t="str">
        <f>"26.0506"</f>
        <v>26.0506</v>
      </c>
      <c r="F945" t="s">
        <v>915</v>
      </c>
    </row>
    <row r="946" spans="1:6" x14ac:dyDescent="0.25">
      <c r="A946" t="str">
        <f>"26.0507"</f>
        <v>26.0507</v>
      </c>
      <c r="B946" t="s">
        <v>916</v>
      </c>
      <c r="C946" t="s">
        <v>7</v>
      </c>
      <c r="D946" t="s">
        <v>11</v>
      </c>
      <c r="E946" t="str">
        <f>"26.0507"</f>
        <v>26.0507</v>
      </c>
      <c r="F946" t="s">
        <v>916</v>
      </c>
    </row>
    <row r="947" spans="1:6" x14ac:dyDescent="0.25">
      <c r="A947" t="str">
        <f>"26.0508"</f>
        <v>26.0508</v>
      </c>
      <c r="B947" t="s">
        <v>917</v>
      </c>
      <c r="C947" t="s">
        <v>7</v>
      </c>
      <c r="D947" t="s">
        <v>11</v>
      </c>
      <c r="E947" t="str">
        <f>"26.0508"</f>
        <v>26.0508</v>
      </c>
      <c r="F947" t="s">
        <v>917</v>
      </c>
    </row>
    <row r="948" spans="1:6" x14ac:dyDescent="0.25">
      <c r="C948" t="s">
        <v>26</v>
      </c>
      <c r="D948" t="s">
        <v>11</v>
      </c>
      <c r="E948" t="str">
        <f>"26.0509"</f>
        <v>26.0509</v>
      </c>
      <c r="F948" t="s">
        <v>918</v>
      </c>
    </row>
    <row r="949" spans="1:6" x14ac:dyDescent="0.25">
      <c r="A949" t="str">
        <f>"26.0599"</f>
        <v>26.0599</v>
      </c>
      <c r="B949" t="s">
        <v>919</v>
      </c>
      <c r="C949" t="s">
        <v>7</v>
      </c>
      <c r="D949" t="s">
        <v>11</v>
      </c>
      <c r="E949" t="str">
        <f>"26.0599"</f>
        <v>26.0599</v>
      </c>
      <c r="F949" t="s">
        <v>919</v>
      </c>
    </row>
    <row r="950" spans="1:6" x14ac:dyDescent="0.25">
      <c r="A950" t="str">
        <f>"26.07"</f>
        <v>26.07</v>
      </c>
      <c r="B950" t="s">
        <v>920</v>
      </c>
      <c r="C950" t="s">
        <v>7</v>
      </c>
      <c r="D950" t="s">
        <v>11</v>
      </c>
      <c r="E950" t="str">
        <f>"26.07"</f>
        <v>26.07</v>
      </c>
      <c r="F950" t="s">
        <v>920</v>
      </c>
    </row>
    <row r="951" spans="1:6" x14ac:dyDescent="0.25">
      <c r="A951" t="str">
        <f>"26.0701"</f>
        <v>26.0701</v>
      </c>
      <c r="B951" t="s">
        <v>920</v>
      </c>
      <c r="C951" t="s">
        <v>7</v>
      </c>
      <c r="D951" t="s">
        <v>11</v>
      </c>
      <c r="E951" t="str">
        <f>"26.0701"</f>
        <v>26.0701</v>
      </c>
      <c r="F951" t="s">
        <v>920</v>
      </c>
    </row>
    <row r="952" spans="1:6" x14ac:dyDescent="0.25">
      <c r="A952" t="str">
        <f>"26.0702"</f>
        <v>26.0702</v>
      </c>
      <c r="B952" t="s">
        <v>921</v>
      </c>
      <c r="C952" t="s">
        <v>7</v>
      </c>
      <c r="D952" t="s">
        <v>11</v>
      </c>
      <c r="E952" t="str">
        <f>"26.0702"</f>
        <v>26.0702</v>
      </c>
      <c r="F952" t="s">
        <v>921</v>
      </c>
    </row>
    <row r="953" spans="1:6" x14ac:dyDescent="0.25">
      <c r="A953" t="str">
        <f>"26.0707"</f>
        <v>26.0707</v>
      </c>
      <c r="B953" t="s">
        <v>922</v>
      </c>
      <c r="C953" t="s">
        <v>7</v>
      </c>
      <c r="D953" t="s">
        <v>11</v>
      </c>
      <c r="E953" t="str">
        <f>"26.0707"</f>
        <v>26.0707</v>
      </c>
      <c r="F953" t="s">
        <v>922</v>
      </c>
    </row>
    <row r="954" spans="1:6" x14ac:dyDescent="0.25">
      <c r="A954" t="str">
        <f>"26.0708"</f>
        <v>26.0708</v>
      </c>
      <c r="B954" t="s">
        <v>923</v>
      </c>
      <c r="C954" t="s">
        <v>7</v>
      </c>
      <c r="D954" t="s">
        <v>11</v>
      </c>
      <c r="E954" t="str">
        <f>"26.0708"</f>
        <v>26.0708</v>
      </c>
      <c r="F954" t="s">
        <v>923</v>
      </c>
    </row>
    <row r="955" spans="1:6" x14ac:dyDescent="0.25">
      <c r="A955" t="str">
        <f>"26.0709"</f>
        <v>26.0709</v>
      </c>
      <c r="B955" t="s">
        <v>924</v>
      </c>
      <c r="C955" t="s">
        <v>7</v>
      </c>
      <c r="D955" t="s">
        <v>11</v>
      </c>
      <c r="E955" t="str">
        <f>"26.0709"</f>
        <v>26.0709</v>
      </c>
      <c r="F955" t="s">
        <v>924</v>
      </c>
    </row>
    <row r="956" spans="1:6" x14ac:dyDescent="0.25">
      <c r="A956" t="str">
        <f>"26.0799"</f>
        <v>26.0799</v>
      </c>
      <c r="B956" t="s">
        <v>925</v>
      </c>
      <c r="C956" t="s">
        <v>7</v>
      </c>
      <c r="D956" t="s">
        <v>11</v>
      </c>
      <c r="E956" t="str">
        <f>"26.0799"</f>
        <v>26.0799</v>
      </c>
      <c r="F956" t="s">
        <v>925</v>
      </c>
    </row>
    <row r="957" spans="1:6" x14ac:dyDescent="0.25">
      <c r="A957" t="str">
        <f>"26.08"</f>
        <v>26.08</v>
      </c>
      <c r="B957" t="s">
        <v>926</v>
      </c>
      <c r="C957" t="s">
        <v>7</v>
      </c>
      <c r="D957" t="s">
        <v>11</v>
      </c>
      <c r="E957" t="str">
        <f>"26.08"</f>
        <v>26.08</v>
      </c>
      <c r="F957" t="s">
        <v>926</v>
      </c>
    </row>
    <row r="958" spans="1:6" x14ac:dyDescent="0.25">
      <c r="A958" t="str">
        <f>"26.0801"</f>
        <v>26.0801</v>
      </c>
      <c r="B958" t="s">
        <v>927</v>
      </c>
      <c r="C958" t="s">
        <v>7</v>
      </c>
      <c r="D958" t="s">
        <v>11</v>
      </c>
      <c r="E958" t="str">
        <f>"26.0801"</f>
        <v>26.0801</v>
      </c>
      <c r="F958" t="s">
        <v>927</v>
      </c>
    </row>
    <row r="959" spans="1:6" x14ac:dyDescent="0.25">
      <c r="A959" t="str">
        <f>"26.0802"</f>
        <v>26.0802</v>
      </c>
      <c r="B959" t="s">
        <v>928</v>
      </c>
      <c r="C959" t="s">
        <v>7</v>
      </c>
      <c r="D959" t="s">
        <v>11</v>
      </c>
      <c r="E959" t="str">
        <f>"26.0802"</f>
        <v>26.0802</v>
      </c>
      <c r="F959" t="s">
        <v>928</v>
      </c>
    </row>
    <row r="960" spans="1:6" x14ac:dyDescent="0.25">
      <c r="A960" t="str">
        <f>"26.0803"</f>
        <v>26.0803</v>
      </c>
      <c r="B960" t="s">
        <v>929</v>
      </c>
      <c r="C960" t="s">
        <v>7</v>
      </c>
      <c r="D960" t="s">
        <v>11</v>
      </c>
      <c r="E960" t="str">
        <f>"26.0803"</f>
        <v>26.0803</v>
      </c>
      <c r="F960" t="s">
        <v>929</v>
      </c>
    </row>
    <row r="961" spans="1:6" x14ac:dyDescent="0.25">
      <c r="A961" t="str">
        <f>"26.0804"</f>
        <v>26.0804</v>
      </c>
      <c r="B961" t="s">
        <v>930</v>
      </c>
      <c r="C961" t="s">
        <v>7</v>
      </c>
      <c r="D961" t="s">
        <v>11</v>
      </c>
      <c r="E961" t="str">
        <f>"26.0804"</f>
        <v>26.0804</v>
      </c>
      <c r="F961" t="s">
        <v>930</v>
      </c>
    </row>
    <row r="962" spans="1:6" x14ac:dyDescent="0.25">
      <c r="A962" t="str">
        <f>"26.0805"</f>
        <v>26.0805</v>
      </c>
      <c r="B962" t="s">
        <v>931</v>
      </c>
      <c r="C962" t="s">
        <v>7</v>
      </c>
      <c r="D962" t="s">
        <v>11</v>
      </c>
      <c r="E962" t="str">
        <f>"26.0805"</f>
        <v>26.0805</v>
      </c>
      <c r="F962" t="s">
        <v>931</v>
      </c>
    </row>
    <row r="963" spans="1:6" x14ac:dyDescent="0.25">
      <c r="A963" t="str">
        <f>"26.0806"</f>
        <v>26.0806</v>
      </c>
      <c r="B963" t="s">
        <v>932</v>
      </c>
      <c r="C963" t="s">
        <v>7</v>
      </c>
      <c r="D963" t="s">
        <v>11</v>
      </c>
      <c r="E963" t="str">
        <f>"26.0806"</f>
        <v>26.0806</v>
      </c>
      <c r="F963" t="s">
        <v>932</v>
      </c>
    </row>
    <row r="964" spans="1:6" x14ac:dyDescent="0.25">
      <c r="A964" t="str">
        <f>"26.0807"</f>
        <v>26.0807</v>
      </c>
      <c r="B964" t="s">
        <v>933</v>
      </c>
      <c r="C964" t="s">
        <v>7</v>
      </c>
      <c r="D964" t="s">
        <v>11</v>
      </c>
      <c r="E964" t="str">
        <f>"26.0807"</f>
        <v>26.0807</v>
      </c>
      <c r="F964" t="s">
        <v>933</v>
      </c>
    </row>
    <row r="965" spans="1:6" x14ac:dyDescent="0.25">
      <c r="A965" t="str">
        <f>"26.0899"</f>
        <v>26.0899</v>
      </c>
      <c r="B965" t="s">
        <v>934</v>
      </c>
      <c r="C965" t="s">
        <v>7</v>
      </c>
      <c r="D965" t="s">
        <v>11</v>
      </c>
      <c r="E965" t="str">
        <f>"26.0899"</f>
        <v>26.0899</v>
      </c>
      <c r="F965" t="s">
        <v>934</v>
      </c>
    </row>
    <row r="966" spans="1:6" x14ac:dyDescent="0.25">
      <c r="A966" t="str">
        <f>"26.09"</f>
        <v>26.09</v>
      </c>
      <c r="B966" t="s">
        <v>935</v>
      </c>
      <c r="C966" t="s">
        <v>7</v>
      </c>
      <c r="D966" t="s">
        <v>11</v>
      </c>
      <c r="E966" t="str">
        <f>"26.09"</f>
        <v>26.09</v>
      </c>
      <c r="F966" t="s">
        <v>935</v>
      </c>
    </row>
    <row r="967" spans="1:6" x14ac:dyDescent="0.25">
      <c r="A967" t="str">
        <f>"26.0901"</f>
        <v>26.0901</v>
      </c>
      <c r="B967" t="s">
        <v>936</v>
      </c>
      <c r="C967" t="s">
        <v>7</v>
      </c>
      <c r="D967" t="s">
        <v>11</v>
      </c>
      <c r="E967" t="str">
        <f>"26.0901"</f>
        <v>26.0901</v>
      </c>
      <c r="F967" t="s">
        <v>936</v>
      </c>
    </row>
    <row r="968" spans="1:6" x14ac:dyDescent="0.25">
      <c r="A968" t="str">
        <f>"26.0902"</f>
        <v>26.0902</v>
      </c>
      <c r="B968" t="s">
        <v>937</v>
      </c>
      <c r="C968" t="s">
        <v>7</v>
      </c>
      <c r="D968" t="s">
        <v>11</v>
      </c>
      <c r="E968" t="str">
        <f>"26.0902"</f>
        <v>26.0902</v>
      </c>
      <c r="F968" t="s">
        <v>937</v>
      </c>
    </row>
    <row r="969" spans="1:6" x14ac:dyDescent="0.25">
      <c r="A969" t="str">
        <f>"26.0903"</f>
        <v>26.0903</v>
      </c>
      <c r="B969" t="s">
        <v>938</v>
      </c>
      <c r="C969" t="s">
        <v>7</v>
      </c>
      <c r="D969" t="s">
        <v>11</v>
      </c>
      <c r="E969" t="str">
        <f>"26.0903"</f>
        <v>26.0903</v>
      </c>
      <c r="F969" t="s">
        <v>938</v>
      </c>
    </row>
    <row r="970" spans="1:6" x14ac:dyDescent="0.25">
      <c r="A970" t="str">
        <f>"26.0904"</f>
        <v>26.0904</v>
      </c>
      <c r="B970" t="s">
        <v>939</v>
      </c>
      <c r="C970" t="s">
        <v>7</v>
      </c>
      <c r="D970" t="s">
        <v>11</v>
      </c>
      <c r="E970" t="str">
        <f>"26.0904"</f>
        <v>26.0904</v>
      </c>
      <c r="F970" t="s">
        <v>939</v>
      </c>
    </row>
    <row r="971" spans="1:6" x14ac:dyDescent="0.25">
      <c r="A971" t="str">
        <f>"26.0905"</f>
        <v>26.0905</v>
      </c>
      <c r="B971" t="s">
        <v>940</v>
      </c>
      <c r="C971" t="s">
        <v>7</v>
      </c>
      <c r="D971" t="s">
        <v>11</v>
      </c>
      <c r="E971" t="str">
        <f>"26.0905"</f>
        <v>26.0905</v>
      </c>
      <c r="F971" t="s">
        <v>940</v>
      </c>
    </row>
    <row r="972" spans="1:6" x14ac:dyDescent="0.25">
      <c r="A972" t="str">
        <f>"26.0907"</f>
        <v>26.0907</v>
      </c>
      <c r="B972" t="s">
        <v>941</v>
      </c>
      <c r="C972" t="s">
        <v>7</v>
      </c>
      <c r="D972" t="s">
        <v>11</v>
      </c>
      <c r="E972" t="str">
        <f>"26.0907"</f>
        <v>26.0907</v>
      </c>
      <c r="F972" t="s">
        <v>941</v>
      </c>
    </row>
    <row r="973" spans="1:6" x14ac:dyDescent="0.25">
      <c r="A973" t="str">
        <f>"26.0908"</f>
        <v>26.0908</v>
      </c>
      <c r="B973" t="s">
        <v>942</v>
      </c>
      <c r="C973" t="s">
        <v>7</v>
      </c>
      <c r="D973" t="s">
        <v>8</v>
      </c>
      <c r="E973" t="str">
        <f>"26.0908"</f>
        <v>26.0908</v>
      </c>
      <c r="F973" t="s">
        <v>943</v>
      </c>
    </row>
    <row r="974" spans="1:6" x14ac:dyDescent="0.25">
      <c r="A974" t="str">
        <f>"26.0909"</f>
        <v>26.0909</v>
      </c>
      <c r="B974" t="s">
        <v>944</v>
      </c>
      <c r="C974" t="s">
        <v>7</v>
      </c>
      <c r="D974" t="s">
        <v>11</v>
      </c>
      <c r="E974" t="str">
        <f>"26.0909"</f>
        <v>26.0909</v>
      </c>
      <c r="F974" t="s">
        <v>944</v>
      </c>
    </row>
    <row r="975" spans="1:6" x14ac:dyDescent="0.25">
      <c r="A975" t="str">
        <f>"26.0910"</f>
        <v>26.0910</v>
      </c>
      <c r="B975" t="s">
        <v>945</v>
      </c>
      <c r="C975" t="s">
        <v>7</v>
      </c>
      <c r="D975" t="s">
        <v>11</v>
      </c>
      <c r="E975" t="str">
        <f>"26.0910"</f>
        <v>26.0910</v>
      </c>
      <c r="F975" t="s">
        <v>945</v>
      </c>
    </row>
    <row r="976" spans="1:6" x14ac:dyDescent="0.25">
      <c r="A976" t="str">
        <f>"26.0911"</f>
        <v>26.0911</v>
      </c>
      <c r="B976" t="s">
        <v>946</v>
      </c>
      <c r="C976" t="s">
        <v>7</v>
      </c>
      <c r="D976" t="s">
        <v>11</v>
      </c>
      <c r="E976" t="str">
        <f>"26.0911"</f>
        <v>26.0911</v>
      </c>
      <c r="F976" t="s">
        <v>946</v>
      </c>
    </row>
    <row r="977" spans="1:6" x14ac:dyDescent="0.25">
      <c r="A977" t="str">
        <f>"26.0912"</f>
        <v>26.0912</v>
      </c>
      <c r="B977" t="s">
        <v>947</v>
      </c>
      <c r="C977" t="s">
        <v>7</v>
      </c>
      <c r="D977" t="s">
        <v>11</v>
      </c>
      <c r="E977" t="str">
        <f>"26.0912"</f>
        <v>26.0912</v>
      </c>
      <c r="F977" t="s">
        <v>947</v>
      </c>
    </row>
    <row r="978" spans="1:6" x14ac:dyDescent="0.25">
      <c r="C978" t="s">
        <v>26</v>
      </c>
      <c r="D978" t="s">
        <v>11</v>
      </c>
      <c r="E978" t="str">
        <f>"26.0913"</f>
        <v>26.0913</v>
      </c>
      <c r="F978" t="s">
        <v>948</v>
      </c>
    </row>
    <row r="979" spans="1:6" x14ac:dyDescent="0.25">
      <c r="A979" t="str">
        <f>"26.0999"</f>
        <v>26.0999</v>
      </c>
      <c r="B979" t="s">
        <v>949</v>
      </c>
      <c r="C979" t="s">
        <v>7</v>
      </c>
      <c r="D979" t="s">
        <v>11</v>
      </c>
      <c r="E979" t="str">
        <f>"26.0999"</f>
        <v>26.0999</v>
      </c>
      <c r="F979" t="s">
        <v>949</v>
      </c>
    </row>
    <row r="980" spans="1:6" x14ac:dyDescent="0.25">
      <c r="A980" t="str">
        <f>"26.10"</f>
        <v>26.10</v>
      </c>
      <c r="B980" t="s">
        <v>950</v>
      </c>
      <c r="C980" t="s">
        <v>7</v>
      </c>
      <c r="D980" t="s">
        <v>11</v>
      </c>
      <c r="E980" t="str">
        <f>"26.10"</f>
        <v>26.10</v>
      </c>
      <c r="F980" t="s">
        <v>950</v>
      </c>
    </row>
    <row r="981" spans="1:6" x14ac:dyDescent="0.25">
      <c r="A981" t="str">
        <f>"26.1001"</f>
        <v>26.1001</v>
      </c>
      <c r="B981" t="s">
        <v>951</v>
      </c>
      <c r="C981" t="s">
        <v>7</v>
      </c>
      <c r="D981" t="s">
        <v>11</v>
      </c>
      <c r="E981" t="str">
        <f>"26.1001"</f>
        <v>26.1001</v>
      </c>
      <c r="F981" t="s">
        <v>951</v>
      </c>
    </row>
    <row r="982" spans="1:6" x14ac:dyDescent="0.25">
      <c r="A982" t="str">
        <f>"26.1002"</f>
        <v>26.1002</v>
      </c>
      <c r="B982" t="s">
        <v>952</v>
      </c>
      <c r="C982" t="s">
        <v>7</v>
      </c>
      <c r="D982" t="s">
        <v>11</v>
      </c>
      <c r="E982" t="str">
        <f>"26.1002"</f>
        <v>26.1002</v>
      </c>
      <c r="F982" t="s">
        <v>952</v>
      </c>
    </row>
    <row r="983" spans="1:6" x14ac:dyDescent="0.25">
      <c r="A983" t="str">
        <f>"26.1003"</f>
        <v>26.1003</v>
      </c>
      <c r="B983" t="s">
        <v>953</v>
      </c>
      <c r="C983" t="s">
        <v>7</v>
      </c>
      <c r="D983" t="s">
        <v>11</v>
      </c>
      <c r="E983" t="str">
        <f>"26.1003"</f>
        <v>26.1003</v>
      </c>
      <c r="F983" t="s">
        <v>953</v>
      </c>
    </row>
    <row r="984" spans="1:6" x14ac:dyDescent="0.25">
      <c r="A984" t="str">
        <f>"26.1004"</f>
        <v>26.1004</v>
      </c>
      <c r="B984" t="s">
        <v>954</v>
      </c>
      <c r="C984" t="s">
        <v>7</v>
      </c>
      <c r="D984" t="s">
        <v>11</v>
      </c>
      <c r="E984" t="str">
        <f>"26.1004"</f>
        <v>26.1004</v>
      </c>
      <c r="F984" t="s">
        <v>954</v>
      </c>
    </row>
    <row r="985" spans="1:6" x14ac:dyDescent="0.25">
      <c r="A985" t="str">
        <f>"26.1005"</f>
        <v>26.1005</v>
      </c>
      <c r="B985" t="s">
        <v>955</v>
      </c>
      <c r="C985" t="s">
        <v>7</v>
      </c>
      <c r="D985" t="s">
        <v>11</v>
      </c>
      <c r="E985" t="str">
        <f>"26.1005"</f>
        <v>26.1005</v>
      </c>
      <c r="F985" t="s">
        <v>955</v>
      </c>
    </row>
    <row r="986" spans="1:6" x14ac:dyDescent="0.25">
      <c r="A986" t="str">
        <f>"26.1006"</f>
        <v>26.1006</v>
      </c>
      <c r="B986" t="s">
        <v>956</v>
      </c>
      <c r="C986" t="s">
        <v>7</v>
      </c>
      <c r="D986" t="s">
        <v>11</v>
      </c>
      <c r="E986" t="str">
        <f>"26.1006"</f>
        <v>26.1006</v>
      </c>
      <c r="F986" t="s">
        <v>956</v>
      </c>
    </row>
    <row r="987" spans="1:6" x14ac:dyDescent="0.25">
      <c r="A987" t="str">
        <f>"26.1007"</f>
        <v>26.1007</v>
      </c>
      <c r="B987" t="s">
        <v>950</v>
      </c>
      <c r="C987" t="s">
        <v>7</v>
      </c>
      <c r="D987" t="s">
        <v>11</v>
      </c>
      <c r="E987" t="str">
        <f>"26.1007"</f>
        <v>26.1007</v>
      </c>
      <c r="F987" t="s">
        <v>950</v>
      </c>
    </row>
    <row r="988" spans="1:6" x14ac:dyDescent="0.25">
      <c r="A988" t="str">
        <f>"26.1099"</f>
        <v>26.1099</v>
      </c>
      <c r="B988" t="s">
        <v>957</v>
      </c>
      <c r="C988" t="s">
        <v>7</v>
      </c>
      <c r="D988" t="s">
        <v>11</v>
      </c>
      <c r="E988" t="str">
        <f>"26.1099"</f>
        <v>26.1099</v>
      </c>
      <c r="F988" t="s">
        <v>957</v>
      </c>
    </row>
    <row r="989" spans="1:6" x14ac:dyDescent="0.25">
      <c r="A989" t="str">
        <f>"26.11"</f>
        <v>26.11</v>
      </c>
      <c r="B989" t="s">
        <v>958</v>
      </c>
      <c r="C989" t="s">
        <v>7</v>
      </c>
      <c r="D989" t="s">
        <v>11</v>
      </c>
      <c r="E989" t="str">
        <f>"26.11"</f>
        <v>26.11</v>
      </c>
      <c r="F989" t="s">
        <v>958</v>
      </c>
    </row>
    <row r="990" spans="1:6" x14ac:dyDescent="0.25">
      <c r="A990" t="str">
        <f>"26.1101"</f>
        <v>26.1101</v>
      </c>
      <c r="B990" t="s">
        <v>959</v>
      </c>
      <c r="C990" t="s">
        <v>7</v>
      </c>
      <c r="D990" t="s">
        <v>11</v>
      </c>
      <c r="E990" t="str">
        <f>"26.1101"</f>
        <v>26.1101</v>
      </c>
      <c r="F990" t="s">
        <v>959</v>
      </c>
    </row>
    <row r="991" spans="1:6" x14ac:dyDescent="0.25">
      <c r="A991" t="str">
        <f>"26.1102"</f>
        <v>26.1102</v>
      </c>
      <c r="B991" t="s">
        <v>960</v>
      </c>
      <c r="C991" t="s">
        <v>7</v>
      </c>
      <c r="D991" t="s">
        <v>11</v>
      </c>
      <c r="E991" t="str">
        <f>"26.1102"</f>
        <v>26.1102</v>
      </c>
      <c r="F991" t="s">
        <v>960</v>
      </c>
    </row>
    <row r="992" spans="1:6" x14ac:dyDescent="0.25">
      <c r="A992" t="str">
        <f>"26.1103"</f>
        <v>26.1103</v>
      </c>
      <c r="B992" t="s">
        <v>961</v>
      </c>
      <c r="C992" t="s">
        <v>7</v>
      </c>
      <c r="D992" t="s">
        <v>11</v>
      </c>
      <c r="E992" t="str">
        <f>"26.1103"</f>
        <v>26.1103</v>
      </c>
      <c r="F992" t="s">
        <v>961</v>
      </c>
    </row>
    <row r="993" spans="1:6" x14ac:dyDescent="0.25">
      <c r="A993" t="str">
        <f>"26.1104"</f>
        <v>26.1104</v>
      </c>
      <c r="B993" t="s">
        <v>962</v>
      </c>
      <c r="C993" t="s">
        <v>7</v>
      </c>
      <c r="D993" t="s">
        <v>11</v>
      </c>
      <c r="E993" t="str">
        <f>"26.1104"</f>
        <v>26.1104</v>
      </c>
      <c r="F993" t="s">
        <v>962</v>
      </c>
    </row>
    <row r="994" spans="1:6" x14ac:dyDescent="0.25">
      <c r="A994" t="str">
        <f>"26.1199"</f>
        <v>26.1199</v>
      </c>
      <c r="B994" t="s">
        <v>963</v>
      </c>
      <c r="C994" t="s">
        <v>7</v>
      </c>
      <c r="D994" t="s">
        <v>11</v>
      </c>
      <c r="E994" t="str">
        <f>"26.1199"</f>
        <v>26.1199</v>
      </c>
      <c r="F994" t="s">
        <v>963</v>
      </c>
    </row>
    <row r="995" spans="1:6" x14ac:dyDescent="0.25">
      <c r="A995" t="str">
        <f>"26.12"</f>
        <v>26.12</v>
      </c>
      <c r="B995" t="s">
        <v>964</v>
      </c>
      <c r="C995" t="s">
        <v>7</v>
      </c>
      <c r="D995" t="s">
        <v>11</v>
      </c>
      <c r="E995" t="str">
        <f>"26.12"</f>
        <v>26.12</v>
      </c>
      <c r="F995" t="s">
        <v>964</v>
      </c>
    </row>
    <row r="996" spans="1:6" x14ac:dyDescent="0.25">
      <c r="A996" t="str">
        <f>"26.1201"</f>
        <v>26.1201</v>
      </c>
      <c r="B996" t="s">
        <v>964</v>
      </c>
      <c r="C996" t="s">
        <v>7</v>
      </c>
      <c r="D996" t="s">
        <v>11</v>
      </c>
      <c r="E996" t="str">
        <f>"26.1201"</f>
        <v>26.1201</v>
      </c>
      <c r="F996" t="s">
        <v>964</v>
      </c>
    </row>
    <row r="997" spans="1:6" x14ac:dyDescent="0.25">
      <c r="A997" t="str">
        <f>"26.13"</f>
        <v>26.13</v>
      </c>
      <c r="B997" t="s">
        <v>965</v>
      </c>
      <c r="C997" t="s">
        <v>7</v>
      </c>
      <c r="D997" t="s">
        <v>11</v>
      </c>
      <c r="E997" t="str">
        <f>"26.13"</f>
        <v>26.13</v>
      </c>
      <c r="F997" t="s">
        <v>965</v>
      </c>
    </row>
    <row r="998" spans="1:6" x14ac:dyDescent="0.25">
      <c r="A998" t="str">
        <f>"26.1301"</f>
        <v>26.1301</v>
      </c>
      <c r="B998" t="s">
        <v>966</v>
      </c>
      <c r="C998" t="s">
        <v>7</v>
      </c>
      <c r="D998" t="s">
        <v>11</v>
      </c>
      <c r="E998" t="str">
        <f>"26.1301"</f>
        <v>26.1301</v>
      </c>
      <c r="F998" t="s">
        <v>966</v>
      </c>
    </row>
    <row r="999" spans="1:6" x14ac:dyDescent="0.25">
      <c r="A999" t="str">
        <f>"26.1302"</f>
        <v>26.1302</v>
      </c>
      <c r="B999" t="s">
        <v>967</v>
      </c>
      <c r="C999" t="s">
        <v>7</v>
      </c>
      <c r="D999" t="s">
        <v>11</v>
      </c>
      <c r="E999" t="str">
        <f>"26.1302"</f>
        <v>26.1302</v>
      </c>
      <c r="F999" t="s">
        <v>967</v>
      </c>
    </row>
    <row r="1000" spans="1:6" x14ac:dyDescent="0.25">
      <c r="A1000" t="str">
        <f>"26.1303"</f>
        <v>26.1303</v>
      </c>
      <c r="B1000" t="s">
        <v>968</v>
      </c>
      <c r="C1000" t="s">
        <v>7</v>
      </c>
      <c r="D1000" t="s">
        <v>11</v>
      </c>
      <c r="E1000" t="str">
        <f>"26.1303"</f>
        <v>26.1303</v>
      </c>
      <c r="F1000" t="s">
        <v>968</v>
      </c>
    </row>
    <row r="1001" spans="1:6" x14ac:dyDescent="0.25">
      <c r="A1001" t="str">
        <f>"26.1304"</f>
        <v>26.1304</v>
      </c>
      <c r="B1001" t="s">
        <v>969</v>
      </c>
      <c r="C1001" t="s">
        <v>7</v>
      </c>
      <c r="D1001" t="s">
        <v>11</v>
      </c>
      <c r="E1001" t="str">
        <f>"26.1304"</f>
        <v>26.1304</v>
      </c>
      <c r="F1001" t="s">
        <v>969</v>
      </c>
    </row>
    <row r="1002" spans="1:6" x14ac:dyDescent="0.25">
      <c r="A1002" t="str">
        <f>"26.1305"</f>
        <v>26.1305</v>
      </c>
      <c r="B1002" t="s">
        <v>970</v>
      </c>
      <c r="C1002" t="s">
        <v>7</v>
      </c>
      <c r="D1002" t="s">
        <v>11</v>
      </c>
      <c r="E1002" t="str">
        <f>"26.1305"</f>
        <v>26.1305</v>
      </c>
      <c r="F1002" t="s">
        <v>970</v>
      </c>
    </row>
    <row r="1003" spans="1:6" x14ac:dyDescent="0.25">
      <c r="A1003" t="str">
        <f>"26.1306"</f>
        <v>26.1306</v>
      </c>
      <c r="B1003" t="s">
        <v>971</v>
      </c>
      <c r="C1003" t="s">
        <v>7</v>
      </c>
      <c r="D1003" t="s">
        <v>11</v>
      </c>
      <c r="E1003" t="str">
        <f>"26.1306"</f>
        <v>26.1306</v>
      </c>
      <c r="F1003" t="s">
        <v>971</v>
      </c>
    </row>
    <row r="1004" spans="1:6" x14ac:dyDescent="0.25">
      <c r="A1004" t="str">
        <f>"26.1307"</f>
        <v>26.1307</v>
      </c>
      <c r="B1004" t="s">
        <v>972</v>
      </c>
      <c r="C1004" t="s">
        <v>7</v>
      </c>
      <c r="D1004" t="s">
        <v>11</v>
      </c>
      <c r="E1004" t="str">
        <f>"26.1307"</f>
        <v>26.1307</v>
      </c>
      <c r="F1004" t="s">
        <v>972</v>
      </c>
    </row>
    <row r="1005" spans="1:6" x14ac:dyDescent="0.25">
      <c r="A1005" t="str">
        <f>"26.1308"</f>
        <v>26.1308</v>
      </c>
      <c r="B1005" t="s">
        <v>973</v>
      </c>
      <c r="C1005" t="s">
        <v>7</v>
      </c>
      <c r="D1005" t="s">
        <v>11</v>
      </c>
      <c r="E1005" t="str">
        <f>"26.1308"</f>
        <v>26.1308</v>
      </c>
      <c r="F1005" t="s">
        <v>973</v>
      </c>
    </row>
    <row r="1006" spans="1:6" x14ac:dyDescent="0.25">
      <c r="A1006" t="str">
        <f>"26.1309"</f>
        <v>26.1309</v>
      </c>
      <c r="B1006" t="s">
        <v>974</v>
      </c>
      <c r="C1006" t="s">
        <v>7</v>
      </c>
      <c r="D1006" t="s">
        <v>11</v>
      </c>
      <c r="E1006" t="str">
        <f>"26.1309"</f>
        <v>26.1309</v>
      </c>
      <c r="F1006" t="s">
        <v>974</v>
      </c>
    </row>
    <row r="1007" spans="1:6" x14ac:dyDescent="0.25">
      <c r="A1007" t="str">
        <f>"26.1310"</f>
        <v>26.1310</v>
      </c>
      <c r="B1007" t="s">
        <v>975</v>
      </c>
      <c r="C1007" t="s">
        <v>7</v>
      </c>
      <c r="D1007" t="s">
        <v>11</v>
      </c>
      <c r="E1007" t="str">
        <f>"26.1310"</f>
        <v>26.1310</v>
      </c>
      <c r="F1007" t="s">
        <v>975</v>
      </c>
    </row>
    <row r="1008" spans="1:6" x14ac:dyDescent="0.25">
      <c r="C1008" t="s">
        <v>26</v>
      </c>
      <c r="D1008" t="s">
        <v>11</v>
      </c>
      <c r="E1008" t="str">
        <f>"26.1311"</f>
        <v>26.1311</v>
      </c>
      <c r="F1008" t="s">
        <v>976</v>
      </c>
    </row>
    <row r="1009" spans="1:6" x14ac:dyDescent="0.25">
      <c r="A1009" t="str">
        <f>"26.1399"</f>
        <v>26.1399</v>
      </c>
      <c r="B1009" t="s">
        <v>977</v>
      </c>
      <c r="C1009" t="s">
        <v>7</v>
      </c>
      <c r="D1009" t="s">
        <v>11</v>
      </c>
      <c r="E1009" t="str">
        <f>"26.1399"</f>
        <v>26.1399</v>
      </c>
      <c r="F1009" t="s">
        <v>977</v>
      </c>
    </row>
    <row r="1010" spans="1:6" x14ac:dyDescent="0.25">
      <c r="A1010" t="str">
        <f>"26.14"</f>
        <v>26.14</v>
      </c>
      <c r="B1010" t="s">
        <v>978</v>
      </c>
      <c r="C1010" t="s">
        <v>7</v>
      </c>
      <c r="D1010" t="s">
        <v>11</v>
      </c>
      <c r="E1010" t="str">
        <f>"26.14"</f>
        <v>26.14</v>
      </c>
      <c r="F1010" t="s">
        <v>978</v>
      </c>
    </row>
    <row r="1011" spans="1:6" x14ac:dyDescent="0.25">
      <c r="A1011" t="str">
        <f>"26.1401"</f>
        <v>26.1401</v>
      </c>
      <c r="B1011" t="s">
        <v>978</v>
      </c>
      <c r="C1011" t="s">
        <v>7</v>
      </c>
      <c r="D1011" t="s">
        <v>11</v>
      </c>
      <c r="E1011" t="str">
        <f>"26.1401"</f>
        <v>26.1401</v>
      </c>
      <c r="F1011" t="s">
        <v>978</v>
      </c>
    </row>
    <row r="1012" spans="1:6" x14ac:dyDescent="0.25">
      <c r="A1012" t="str">
        <f>"26.15"</f>
        <v>26.15</v>
      </c>
      <c r="B1012" t="s">
        <v>979</v>
      </c>
      <c r="C1012" t="s">
        <v>7</v>
      </c>
      <c r="D1012" t="s">
        <v>11</v>
      </c>
      <c r="E1012" t="str">
        <f>"26.15"</f>
        <v>26.15</v>
      </c>
      <c r="F1012" t="s">
        <v>979</v>
      </c>
    </row>
    <row r="1013" spans="1:6" x14ac:dyDescent="0.25">
      <c r="A1013" t="str">
        <f>"26.1501"</f>
        <v>26.1501</v>
      </c>
      <c r="B1013" t="s">
        <v>980</v>
      </c>
      <c r="C1013" t="s">
        <v>7</v>
      </c>
      <c r="D1013" t="s">
        <v>11</v>
      </c>
      <c r="E1013" t="str">
        <f>"26.1501"</f>
        <v>26.1501</v>
      </c>
      <c r="F1013" t="s">
        <v>980</v>
      </c>
    </row>
    <row r="1014" spans="1:6" x14ac:dyDescent="0.25">
      <c r="A1014" t="str">
        <f>"26.1502"</f>
        <v>26.1502</v>
      </c>
      <c r="B1014" t="s">
        <v>981</v>
      </c>
      <c r="C1014" t="s">
        <v>7</v>
      </c>
      <c r="D1014" t="s">
        <v>11</v>
      </c>
      <c r="E1014" t="str">
        <f>"26.1502"</f>
        <v>26.1502</v>
      </c>
      <c r="F1014" t="s">
        <v>981</v>
      </c>
    </row>
    <row r="1015" spans="1:6" x14ac:dyDescent="0.25">
      <c r="A1015" t="str">
        <f>"26.1503"</f>
        <v>26.1503</v>
      </c>
      <c r="B1015" t="s">
        <v>982</v>
      </c>
      <c r="C1015" t="s">
        <v>7</v>
      </c>
      <c r="D1015" t="s">
        <v>11</v>
      </c>
      <c r="E1015" t="str">
        <f>"26.1503"</f>
        <v>26.1503</v>
      </c>
      <c r="F1015" t="s">
        <v>982</v>
      </c>
    </row>
    <row r="1016" spans="1:6" x14ac:dyDescent="0.25">
      <c r="A1016" t="str">
        <f>"26.1504"</f>
        <v>26.1504</v>
      </c>
      <c r="B1016" t="s">
        <v>983</v>
      </c>
      <c r="C1016" t="s">
        <v>7</v>
      </c>
      <c r="D1016" t="s">
        <v>11</v>
      </c>
      <c r="E1016" t="str">
        <f>"26.1504"</f>
        <v>26.1504</v>
      </c>
      <c r="F1016" t="s">
        <v>983</v>
      </c>
    </row>
    <row r="1017" spans="1:6" x14ac:dyDescent="0.25">
      <c r="A1017" t="str">
        <f>"26.1599"</f>
        <v>26.1599</v>
      </c>
      <c r="B1017" t="s">
        <v>984</v>
      </c>
      <c r="C1017" t="s">
        <v>7</v>
      </c>
      <c r="D1017" t="s">
        <v>11</v>
      </c>
      <c r="E1017" t="str">
        <f>"26.1599"</f>
        <v>26.1599</v>
      </c>
      <c r="F1017" t="s">
        <v>984</v>
      </c>
    </row>
    <row r="1018" spans="1:6" x14ac:dyDescent="0.25">
      <c r="A1018" t="str">
        <f>"26.99"</f>
        <v>26.99</v>
      </c>
      <c r="B1018" t="s">
        <v>985</v>
      </c>
      <c r="C1018" t="s">
        <v>7</v>
      </c>
      <c r="D1018" t="s">
        <v>11</v>
      </c>
      <c r="E1018" t="str">
        <f>"26.99"</f>
        <v>26.99</v>
      </c>
      <c r="F1018" t="s">
        <v>985</v>
      </c>
    </row>
    <row r="1019" spans="1:6" x14ac:dyDescent="0.25">
      <c r="A1019" t="str">
        <f>"26.9999"</f>
        <v>26.9999</v>
      </c>
      <c r="B1019" t="s">
        <v>985</v>
      </c>
      <c r="C1019" t="s">
        <v>7</v>
      </c>
      <c r="D1019" t="s">
        <v>11</v>
      </c>
      <c r="E1019" t="str">
        <f>"26.9999"</f>
        <v>26.9999</v>
      </c>
      <c r="F1019" t="s">
        <v>985</v>
      </c>
    </row>
    <row r="1020" spans="1:6" x14ac:dyDescent="0.25">
      <c r="A1020" t="str">
        <f>"27"</f>
        <v>27</v>
      </c>
      <c r="B1020" t="s">
        <v>986</v>
      </c>
      <c r="C1020" t="s">
        <v>7</v>
      </c>
      <c r="D1020" t="s">
        <v>11</v>
      </c>
      <c r="E1020" t="str">
        <f>"27"</f>
        <v>27</v>
      </c>
      <c r="F1020" t="s">
        <v>986</v>
      </c>
    </row>
    <row r="1021" spans="1:6" x14ac:dyDescent="0.25">
      <c r="A1021" t="str">
        <f>"27.01"</f>
        <v>27.01</v>
      </c>
      <c r="B1021" t="s">
        <v>987</v>
      </c>
      <c r="C1021" t="s">
        <v>7</v>
      </c>
      <c r="D1021" t="s">
        <v>11</v>
      </c>
      <c r="E1021" t="str">
        <f>"27.01"</f>
        <v>27.01</v>
      </c>
      <c r="F1021" t="s">
        <v>987</v>
      </c>
    </row>
    <row r="1022" spans="1:6" x14ac:dyDescent="0.25">
      <c r="A1022" t="str">
        <f>"27.0101"</f>
        <v>27.0101</v>
      </c>
      <c r="B1022" t="s">
        <v>988</v>
      </c>
      <c r="C1022" t="s">
        <v>7</v>
      </c>
      <c r="D1022" t="s">
        <v>11</v>
      </c>
      <c r="E1022" t="str">
        <f>"27.0101"</f>
        <v>27.0101</v>
      </c>
      <c r="F1022" t="s">
        <v>988</v>
      </c>
    </row>
    <row r="1023" spans="1:6" x14ac:dyDescent="0.25">
      <c r="A1023" t="str">
        <f>"27.0102"</f>
        <v>27.0102</v>
      </c>
      <c r="B1023" t="s">
        <v>989</v>
      </c>
      <c r="C1023" t="s">
        <v>7</v>
      </c>
      <c r="D1023" t="s">
        <v>11</v>
      </c>
      <c r="E1023" t="str">
        <f>"27.0102"</f>
        <v>27.0102</v>
      </c>
      <c r="F1023" t="s">
        <v>989</v>
      </c>
    </row>
    <row r="1024" spans="1:6" x14ac:dyDescent="0.25">
      <c r="A1024" t="str">
        <f>"27.0103"</f>
        <v>27.0103</v>
      </c>
      <c r="B1024" t="s">
        <v>990</v>
      </c>
      <c r="C1024" t="s">
        <v>7</v>
      </c>
      <c r="D1024" t="s">
        <v>11</v>
      </c>
      <c r="E1024" t="str">
        <f>"27.0103"</f>
        <v>27.0103</v>
      </c>
      <c r="F1024" t="s">
        <v>990</v>
      </c>
    </row>
    <row r="1025" spans="1:6" x14ac:dyDescent="0.25">
      <c r="A1025" t="str">
        <f>"27.0104"</f>
        <v>27.0104</v>
      </c>
      <c r="B1025" t="s">
        <v>991</v>
      </c>
      <c r="C1025" t="s">
        <v>7</v>
      </c>
      <c r="D1025" t="s">
        <v>11</v>
      </c>
      <c r="E1025" t="str">
        <f>"27.0104"</f>
        <v>27.0104</v>
      </c>
      <c r="F1025" t="s">
        <v>991</v>
      </c>
    </row>
    <row r="1026" spans="1:6" x14ac:dyDescent="0.25">
      <c r="A1026" t="str">
        <f>"27.0105"</f>
        <v>27.0105</v>
      </c>
      <c r="B1026" t="s">
        <v>992</v>
      </c>
      <c r="C1026" t="s">
        <v>7</v>
      </c>
      <c r="D1026" t="s">
        <v>11</v>
      </c>
      <c r="E1026" t="str">
        <f>"27.0105"</f>
        <v>27.0105</v>
      </c>
      <c r="F1026" t="s">
        <v>992</v>
      </c>
    </row>
    <row r="1027" spans="1:6" x14ac:dyDescent="0.25">
      <c r="A1027" t="str">
        <f>"27.0199"</f>
        <v>27.0199</v>
      </c>
      <c r="B1027" t="s">
        <v>993</v>
      </c>
      <c r="C1027" t="s">
        <v>7</v>
      </c>
      <c r="D1027" t="s">
        <v>11</v>
      </c>
      <c r="E1027" t="str">
        <f>"27.0199"</f>
        <v>27.0199</v>
      </c>
      <c r="F1027" t="s">
        <v>993</v>
      </c>
    </row>
    <row r="1028" spans="1:6" x14ac:dyDescent="0.25">
      <c r="A1028" t="str">
        <f>"27.03"</f>
        <v>27.03</v>
      </c>
      <c r="B1028" t="s">
        <v>994</v>
      </c>
      <c r="C1028" t="s">
        <v>7</v>
      </c>
      <c r="D1028" t="s">
        <v>11</v>
      </c>
      <c r="E1028" t="str">
        <f>"27.03"</f>
        <v>27.03</v>
      </c>
      <c r="F1028" t="s">
        <v>994</v>
      </c>
    </row>
    <row r="1029" spans="1:6" x14ac:dyDescent="0.25">
      <c r="A1029" t="str">
        <f>"27.0301"</f>
        <v>27.0301</v>
      </c>
      <c r="B1029" t="s">
        <v>995</v>
      </c>
      <c r="C1029" t="s">
        <v>7</v>
      </c>
      <c r="D1029" t="s">
        <v>8</v>
      </c>
      <c r="E1029" t="str">
        <f>"27.0301"</f>
        <v>27.0301</v>
      </c>
      <c r="F1029" t="s">
        <v>995</v>
      </c>
    </row>
    <row r="1030" spans="1:6" x14ac:dyDescent="0.25">
      <c r="A1030" t="str">
        <f>"27.0303"</f>
        <v>27.0303</v>
      </c>
      <c r="B1030" t="s">
        <v>996</v>
      </c>
      <c r="C1030" t="s">
        <v>7</v>
      </c>
      <c r="D1030" t="s">
        <v>11</v>
      </c>
      <c r="E1030" t="str">
        <f>"27.0303"</f>
        <v>27.0303</v>
      </c>
      <c r="F1030" t="s">
        <v>996</v>
      </c>
    </row>
    <row r="1031" spans="1:6" x14ac:dyDescent="0.25">
      <c r="A1031" t="str">
        <f>"27.0304"</f>
        <v>27.0304</v>
      </c>
      <c r="B1031" t="s">
        <v>997</v>
      </c>
      <c r="C1031" t="s">
        <v>7</v>
      </c>
      <c r="D1031" t="s">
        <v>11</v>
      </c>
      <c r="E1031" t="str">
        <f>"27.0304"</f>
        <v>27.0304</v>
      </c>
      <c r="F1031" t="s">
        <v>997</v>
      </c>
    </row>
    <row r="1032" spans="1:6" x14ac:dyDescent="0.25">
      <c r="A1032" t="str">
        <f>"27.0305"</f>
        <v>27.0305</v>
      </c>
      <c r="B1032" t="s">
        <v>998</v>
      </c>
      <c r="C1032" t="s">
        <v>7</v>
      </c>
      <c r="D1032" t="s">
        <v>11</v>
      </c>
      <c r="E1032" t="str">
        <f>"27.0305"</f>
        <v>27.0305</v>
      </c>
      <c r="F1032" t="s">
        <v>998</v>
      </c>
    </row>
    <row r="1033" spans="1:6" x14ac:dyDescent="0.25">
      <c r="A1033" t="str">
        <f>"27.0306"</f>
        <v>27.0306</v>
      </c>
      <c r="B1033" t="s">
        <v>999</v>
      </c>
      <c r="C1033" t="s">
        <v>7</v>
      </c>
      <c r="D1033" t="s">
        <v>11</v>
      </c>
      <c r="E1033" t="str">
        <f>"27.0306"</f>
        <v>27.0306</v>
      </c>
      <c r="F1033" t="s">
        <v>999</v>
      </c>
    </row>
    <row r="1034" spans="1:6" x14ac:dyDescent="0.25">
      <c r="A1034" t="str">
        <f>"27.0399"</f>
        <v>27.0399</v>
      </c>
      <c r="B1034" t="s">
        <v>1000</v>
      </c>
      <c r="C1034" t="s">
        <v>7</v>
      </c>
      <c r="D1034" t="s">
        <v>11</v>
      </c>
      <c r="E1034" t="str">
        <f>"27.0399"</f>
        <v>27.0399</v>
      </c>
      <c r="F1034" t="s">
        <v>1000</v>
      </c>
    </row>
    <row r="1035" spans="1:6" x14ac:dyDescent="0.25">
      <c r="A1035" t="str">
        <f>"27.05"</f>
        <v>27.05</v>
      </c>
      <c r="B1035" t="s">
        <v>1001</v>
      </c>
      <c r="C1035" t="s">
        <v>7</v>
      </c>
      <c r="D1035" t="s">
        <v>11</v>
      </c>
      <c r="E1035" t="str">
        <f>"27.05"</f>
        <v>27.05</v>
      </c>
      <c r="F1035" t="s">
        <v>1001</v>
      </c>
    </row>
    <row r="1036" spans="1:6" x14ac:dyDescent="0.25">
      <c r="A1036" t="str">
        <f>"27.0501"</f>
        <v>27.0501</v>
      </c>
      <c r="B1036" t="s">
        <v>1002</v>
      </c>
      <c r="C1036" t="s">
        <v>7</v>
      </c>
      <c r="D1036" t="s">
        <v>11</v>
      </c>
      <c r="E1036" t="str">
        <f>"27.0501"</f>
        <v>27.0501</v>
      </c>
      <c r="F1036" t="s">
        <v>1002</v>
      </c>
    </row>
    <row r="1037" spans="1:6" x14ac:dyDescent="0.25">
      <c r="A1037" t="str">
        <f>"27.0502"</f>
        <v>27.0502</v>
      </c>
      <c r="B1037" t="s">
        <v>1003</v>
      </c>
      <c r="C1037" t="s">
        <v>7</v>
      </c>
      <c r="D1037" t="s">
        <v>11</v>
      </c>
      <c r="E1037" t="str">
        <f>"27.0502"</f>
        <v>27.0502</v>
      </c>
      <c r="F1037" t="s">
        <v>1003</v>
      </c>
    </row>
    <row r="1038" spans="1:6" x14ac:dyDescent="0.25">
      <c r="A1038" t="str">
        <f>"27.0503"</f>
        <v>27.0503</v>
      </c>
      <c r="B1038" t="s">
        <v>1004</v>
      </c>
      <c r="C1038" t="s">
        <v>7</v>
      </c>
      <c r="D1038" t="s">
        <v>11</v>
      </c>
      <c r="E1038" t="str">
        <f>"27.0503"</f>
        <v>27.0503</v>
      </c>
      <c r="F1038" t="s">
        <v>1004</v>
      </c>
    </row>
    <row r="1039" spans="1:6" x14ac:dyDescent="0.25">
      <c r="A1039" t="str">
        <f>"27.0599"</f>
        <v>27.0599</v>
      </c>
      <c r="B1039" t="s">
        <v>1005</v>
      </c>
      <c r="C1039" t="s">
        <v>7</v>
      </c>
      <c r="D1039" t="s">
        <v>11</v>
      </c>
      <c r="E1039" t="str">
        <f>"27.0599"</f>
        <v>27.0599</v>
      </c>
      <c r="F1039" t="s">
        <v>1005</v>
      </c>
    </row>
    <row r="1040" spans="1:6" x14ac:dyDescent="0.25">
      <c r="C1040" t="s">
        <v>26</v>
      </c>
      <c r="D1040" t="s">
        <v>11</v>
      </c>
      <c r="E1040" t="str">
        <f>"27.06"</f>
        <v>27.06</v>
      </c>
      <c r="F1040" t="s">
        <v>1006</v>
      </c>
    </row>
    <row r="1041" spans="1:6" x14ac:dyDescent="0.25">
      <c r="C1041" t="s">
        <v>26</v>
      </c>
      <c r="D1041" t="s">
        <v>11</v>
      </c>
      <c r="E1041" t="str">
        <f>"27.0601"</f>
        <v>27.0601</v>
      </c>
      <c r="F1041" t="s">
        <v>1007</v>
      </c>
    </row>
    <row r="1042" spans="1:6" x14ac:dyDescent="0.25">
      <c r="A1042" t="str">
        <f>"27.99"</f>
        <v>27.99</v>
      </c>
      <c r="B1042" t="s">
        <v>1008</v>
      </c>
      <c r="C1042" t="s">
        <v>7</v>
      </c>
      <c r="D1042" t="s">
        <v>11</v>
      </c>
      <c r="E1042" t="str">
        <f>"27.99"</f>
        <v>27.99</v>
      </c>
      <c r="F1042" t="s">
        <v>1008</v>
      </c>
    </row>
    <row r="1043" spans="1:6" x14ac:dyDescent="0.25">
      <c r="A1043" t="str">
        <f>"27.9999"</f>
        <v>27.9999</v>
      </c>
      <c r="B1043" t="s">
        <v>1008</v>
      </c>
      <c r="C1043" t="s">
        <v>7</v>
      </c>
      <c r="D1043" t="s">
        <v>11</v>
      </c>
      <c r="E1043" t="str">
        <f>"27.9999"</f>
        <v>27.9999</v>
      </c>
      <c r="F1043" t="s">
        <v>1008</v>
      </c>
    </row>
    <row r="1044" spans="1:6" x14ac:dyDescent="0.25">
      <c r="A1044" t="str">
        <f>"28"</f>
        <v>28</v>
      </c>
      <c r="B1044" t="s">
        <v>1009</v>
      </c>
      <c r="C1044" t="s">
        <v>7</v>
      </c>
      <c r="D1044" t="s">
        <v>11</v>
      </c>
      <c r="E1044" t="str">
        <f>"28"</f>
        <v>28</v>
      </c>
      <c r="F1044" t="s">
        <v>1009</v>
      </c>
    </row>
    <row r="1045" spans="1:6" x14ac:dyDescent="0.25">
      <c r="A1045" t="str">
        <f>"28.01"</f>
        <v>28.01</v>
      </c>
      <c r="B1045" t="s">
        <v>1010</v>
      </c>
      <c r="C1045" t="s">
        <v>7</v>
      </c>
      <c r="D1045" t="s">
        <v>11</v>
      </c>
      <c r="E1045" t="str">
        <f>"28.01"</f>
        <v>28.01</v>
      </c>
      <c r="F1045" t="s">
        <v>1010</v>
      </c>
    </row>
    <row r="1046" spans="1:6" x14ac:dyDescent="0.25">
      <c r="A1046" t="str">
        <f>"28.0101"</f>
        <v>28.0101</v>
      </c>
      <c r="B1046" t="s">
        <v>1011</v>
      </c>
      <c r="C1046" t="s">
        <v>7</v>
      </c>
      <c r="D1046" t="s">
        <v>11</v>
      </c>
      <c r="E1046" t="str">
        <f>"28.0101"</f>
        <v>28.0101</v>
      </c>
      <c r="F1046" t="s">
        <v>1011</v>
      </c>
    </row>
    <row r="1047" spans="1:6" x14ac:dyDescent="0.25">
      <c r="A1047" t="str">
        <f>"28.0199"</f>
        <v>28.0199</v>
      </c>
      <c r="B1047" t="s">
        <v>1012</v>
      </c>
      <c r="C1047" t="s">
        <v>7</v>
      </c>
      <c r="D1047" t="s">
        <v>11</v>
      </c>
      <c r="E1047" t="str">
        <f>"28.0199"</f>
        <v>28.0199</v>
      </c>
      <c r="F1047" t="s">
        <v>1012</v>
      </c>
    </row>
    <row r="1048" spans="1:6" x14ac:dyDescent="0.25">
      <c r="A1048" t="str">
        <f>"28.03"</f>
        <v>28.03</v>
      </c>
      <c r="B1048" t="s">
        <v>1013</v>
      </c>
      <c r="C1048" t="s">
        <v>7</v>
      </c>
      <c r="D1048" t="s">
        <v>11</v>
      </c>
      <c r="E1048" t="str">
        <f>"28.03"</f>
        <v>28.03</v>
      </c>
      <c r="F1048" t="s">
        <v>1013</v>
      </c>
    </row>
    <row r="1049" spans="1:6" x14ac:dyDescent="0.25">
      <c r="A1049" t="str">
        <f>"28.0301"</f>
        <v>28.0301</v>
      </c>
      <c r="B1049" t="s">
        <v>1014</v>
      </c>
      <c r="C1049" t="s">
        <v>7</v>
      </c>
      <c r="D1049" t="s">
        <v>11</v>
      </c>
      <c r="E1049" t="str">
        <f>"28.0301"</f>
        <v>28.0301</v>
      </c>
      <c r="F1049" t="s">
        <v>1014</v>
      </c>
    </row>
    <row r="1050" spans="1:6" x14ac:dyDescent="0.25">
      <c r="A1050" t="str">
        <f>"28.0399"</f>
        <v>28.0399</v>
      </c>
      <c r="B1050" t="s">
        <v>1015</v>
      </c>
      <c r="C1050" t="s">
        <v>7</v>
      </c>
      <c r="D1050" t="s">
        <v>11</v>
      </c>
      <c r="E1050" t="str">
        <f>"28.0399"</f>
        <v>28.0399</v>
      </c>
      <c r="F1050" t="s">
        <v>1015</v>
      </c>
    </row>
    <row r="1051" spans="1:6" x14ac:dyDescent="0.25">
      <c r="A1051" t="str">
        <f>"28.04"</f>
        <v>28.04</v>
      </c>
      <c r="B1051" t="s">
        <v>1016</v>
      </c>
      <c r="C1051" t="s">
        <v>7</v>
      </c>
      <c r="D1051" t="s">
        <v>11</v>
      </c>
      <c r="E1051" t="str">
        <f>"28.04"</f>
        <v>28.04</v>
      </c>
      <c r="F1051" t="s">
        <v>1016</v>
      </c>
    </row>
    <row r="1052" spans="1:6" x14ac:dyDescent="0.25">
      <c r="A1052" t="str">
        <f>"28.0401"</f>
        <v>28.0401</v>
      </c>
      <c r="B1052" t="s">
        <v>1017</v>
      </c>
      <c r="C1052" t="s">
        <v>7</v>
      </c>
      <c r="D1052" t="s">
        <v>11</v>
      </c>
      <c r="E1052" t="str">
        <f>"28.0401"</f>
        <v>28.0401</v>
      </c>
      <c r="F1052" t="s">
        <v>1017</v>
      </c>
    </row>
    <row r="1053" spans="1:6" x14ac:dyDescent="0.25">
      <c r="A1053" t="str">
        <f>"28.0499"</f>
        <v>28.0499</v>
      </c>
      <c r="B1053" t="s">
        <v>1018</v>
      </c>
      <c r="C1053" t="s">
        <v>7</v>
      </c>
      <c r="D1053" t="s">
        <v>11</v>
      </c>
      <c r="E1053" t="str">
        <f>"28.0499"</f>
        <v>28.0499</v>
      </c>
      <c r="F1053" t="s">
        <v>1018</v>
      </c>
    </row>
    <row r="1054" spans="1:6" x14ac:dyDescent="0.25">
      <c r="A1054" t="str">
        <f>"28.05"</f>
        <v>28.05</v>
      </c>
      <c r="B1054" t="s">
        <v>1019</v>
      </c>
      <c r="C1054" t="s">
        <v>7</v>
      </c>
      <c r="D1054" t="s">
        <v>11</v>
      </c>
      <c r="E1054" t="str">
        <f>"28.05"</f>
        <v>28.05</v>
      </c>
      <c r="F1054" t="s">
        <v>1019</v>
      </c>
    </row>
    <row r="1055" spans="1:6" x14ac:dyDescent="0.25">
      <c r="A1055" t="str">
        <f>"28.0501"</f>
        <v>28.0501</v>
      </c>
      <c r="B1055" t="s">
        <v>1020</v>
      </c>
      <c r="C1055" t="s">
        <v>7</v>
      </c>
      <c r="D1055" t="s">
        <v>11</v>
      </c>
      <c r="E1055" t="str">
        <f>"28.0501"</f>
        <v>28.0501</v>
      </c>
      <c r="F1055" t="s">
        <v>1020</v>
      </c>
    </row>
    <row r="1056" spans="1:6" x14ac:dyDescent="0.25">
      <c r="A1056" t="str">
        <f>"28.0502"</f>
        <v>28.0502</v>
      </c>
      <c r="B1056" t="s">
        <v>1021</v>
      </c>
      <c r="C1056" t="s">
        <v>7</v>
      </c>
      <c r="D1056" t="s">
        <v>11</v>
      </c>
      <c r="E1056" t="str">
        <f>"28.0502"</f>
        <v>28.0502</v>
      </c>
      <c r="F1056" t="s">
        <v>1021</v>
      </c>
    </row>
    <row r="1057" spans="1:6" x14ac:dyDescent="0.25">
      <c r="A1057" t="str">
        <f>"28.0503"</f>
        <v>28.0503</v>
      </c>
      <c r="B1057" t="s">
        <v>1022</v>
      </c>
      <c r="C1057" t="s">
        <v>7</v>
      </c>
      <c r="D1057" t="s">
        <v>11</v>
      </c>
      <c r="E1057" t="str">
        <f>"28.0503"</f>
        <v>28.0503</v>
      </c>
      <c r="F1057" t="s">
        <v>1022</v>
      </c>
    </row>
    <row r="1058" spans="1:6" x14ac:dyDescent="0.25">
      <c r="A1058" t="str">
        <f>"28.0504"</f>
        <v>28.0504</v>
      </c>
      <c r="B1058" t="s">
        <v>1023</v>
      </c>
      <c r="C1058" t="s">
        <v>7</v>
      </c>
      <c r="D1058" t="s">
        <v>11</v>
      </c>
      <c r="E1058" t="str">
        <f>"28.0504"</f>
        <v>28.0504</v>
      </c>
      <c r="F1058" t="s">
        <v>1023</v>
      </c>
    </row>
    <row r="1059" spans="1:6" x14ac:dyDescent="0.25">
      <c r="A1059" t="str">
        <f>"28.0505"</f>
        <v>28.0505</v>
      </c>
      <c r="B1059" t="s">
        <v>1024</v>
      </c>
      <c r="C1059" t="s">
        <v>7</v>
      </c>
      <c r="D1059" t="s">
        <v>11</v>
      </c>
      <c r="E1059" t="str">
        <f>"28.0505"</f>
        <v>28.0505</v>
      </c>
      <c r="F1059" t="s">
        <v>1024</v>
      </c>
    </row>
    <row r="1060" spans="1:6" x14ac:dyDescent="0.25">
      <c r="A1060" t="str">
        <f>"28.0506"</f>
        <v>28.0506</v>
      </c>
      <c r="B1060" t="s">
        <v>1025</v>
      </c>
      <c r="C1060" t="s">
        <v>7</v>
      </c>
      <c r="D1060" t="s">
        <v>11</v>
      </c>
      <c r="E1060" t="str">
        <f>"28.0506"</f>
        <v>28.0506</v>
      </c>
      <c r="F1060" t="s">
        <v>1025</v>
      </c>
    </row>
    <row r="1061" spans="1:6" x14ac:dyDescent="0.25">
      <c r="A1061" t="str">
        <f>"28.0599"</f>
        <v>28.0599</v>
      </c>
      <c r="B1061" t="s">
        <v>1026</v>
      </c>
      <c r="C1061" t="s">
        <v>7</v>
      </c>
      <c r="D1061" t="s">
        <v>11</v>
      </c>
      <c r="E1061" t="str">
        <f>"28.0599"</f>
        <v>28.0599</v>
      </c>
      <c r="F1061" t="s">
        <v>1026</v>
      </c>
    </row>
    <row r="1062" spans="1:6" x14ac:dyDescent="0.25">
      <c r="A1062" t="str">
        <f>"28.06"</f>
        <v>28.06</v>
      </c>
      <c r="B1062" t="s">
        <v>1027</v>
      </c>
      <c r="C1062" t="s">
        <v>7</v>
      </c>
      <c r="D1062" t="s">
        <v>11</v>
      </c>
      <c r="E1062" t="str">
        <f>"28.06"</f>
        <v>28.06</v>
      </c>
      <c r="F1062" t="s">
        <v>1027</v>
      </c>
    </row>
    <row r="1063" spans="1:6" x14ac:dyDescent="0.25">
      <c r="A1063" t="str">
        <f>"28.0601"</f>
        <v>28.0601</v>
      </c>
      <c r="B1063" t="s">
        <v>1028</v>
      </c>
      <c r="C1063" t="s">
        <v>7</v>
      </c>
      <c r="D1063" t="s">
        <v>11</v>
      </c>
      <c r="E1063" t="str">
        <f>"28.0601"</f>
        <v>28.0601</v>
      </c>
      <c r="F1063" t="s">
        <v>1028</v>
      </c>
    </row>
    <row r="1064" spans="1:6" x14ac:dyDescent="0.25">
      <c r="A1064" t="str">
        <f>"28.0602"</f>
        <v>28.0602</v>
      </c>
      <c r="B1064" t="s">
        <v>1029</v>
      </c>
      <c r="C1064" t="s">
        <v>7</v>
      </c>
      <c r="D1064" t="s">
        <v>11</v>
      </c>
      <c r="E1064" t="str">
        <f>"28.0602"</f>
        <v>28.0602</v>
      </c>
      <c r="F1064" t="s">
        <v>1029</v>
      </c>
    </row>
    <row r="1065" spans="1:6" x14ac:dyDescent="0.25">
      <c r="A1065" t="str">
        <f>"28.0603"</f>
        <v>28.0603</v>
      </c>
      <c r="B1065" t="s">
        <v>1030</v>
      </c>
      <c r="C1065" t="s">
        <v>7</v>
      </c>
      <c r="D1065" t="s">
        <v>11</v>
      </c>
      <c r="E1065" t="str">
        <f>"28.0603"</f>
        <v>28.0603</v>
      </c>
      <c r="F1065" t="s">
        <v>1030</v>
      </c>
    </row>
    <row r="1066" spans="1:6" x14ac:dyDescent="0.25">
      <c r="A1066" t="str">
        <f>"28.0604"</f>
        <v>28.0604</v>
      </c>
      <c r="B1066" t="s">
        <v>1031</v>
      </c>
      <c r="C1066" t="s">
        <v>7</v>
      </c>
      <c r="D1066" t="s">
        <v>11</v>
      </c>
      <c r="E1066" t="str">
        <f>"28.0604"</f>
        <v>28.0604</v>
      </c>
      <c r="F1066" t="s">
        <v>1031</v>
      </c>
    </row>
    <row r="1067" spans="1:6" x14ac:dyDescent="0.25">
      <c r="A1067" t="str">
        <f>"28.0605"</f>
        <v>28.0605</v>
      </c>
      <c r="B1067" t="s">
        <v>1032</v>
      </c>
      <c r="C1067" t="s">
        <v>7</v>
      </c>
      <c r="D1067" t="s">
        <v>11</v>
      </c>
      <c r="E1067" t="str">
        <f>"28.0605"</f>
        <v>28.0605</v>
      </c>
      <c r="F1067" t="s">
        <v>1032</v>
      </c>
    </row>
    <row r="1068" spans="1:6" x14ac:dyDescent="0.25">
      <c r="A1068" t="str">
        <f>"28.0699"</f>
        <v>28.0699</v>
      </c>
      <c r="B1068" t="s">
        <v>1033</v>
      </c>
      <c r="C1068" t="s">
        <v>7</v>
      </c>
      <c r="D1068" t="s">
        <v>11</v>
      </c>
      <c r="E1068" t="str">
        <f>"28.0699"</f>
        <v>28.0699</v>
      </c>
      <c r="F1068" t="s">
        <v>1033</v>
      </c>
    </row>
    <row r="1069" spans="1:6" x14ac:dyDescent="0.25">
      <c r="A1069" t="str">
        <f>"28.07"</f>
        <v>28.07</v>
      </c>
      <c r="B1069" t="s">
        <v>1034</v>
      </c>
      <c r="C1069" t="s">
        <v>7</v>
      </c>
      <c r="D1069" t="s">
        <v>11</v>
      </c>
      <c r="E1069" t="str">
        <f>"28.07"</f>
        <v>28.07</v>
      </c>
      <c r="F1069" t="s">
        <v>1034</v>
      </c>
    </row>
    <row r="1070" spans="1:6" x14ac:dyDescent="0.25">
      <c r="A1070" t="str">
        <f>"28.0701"</f>
        <v>28.0701</v>
      </c>
      <c r="B1070" t="s">
        <v>1035</v>
      </c>
      <c r="C1070" t="s">
        <v>7</v>
      </c>
      <c r="D1070" t="s">
        <v>11</v>
      </c>
      <c r="E1070" t="str">
        <f>"28.0701"</f>
        <v>28.0701</v>
      </c>
      <c r="F1070" t="s">
        <v>1035</v>
      </c>
    </row>
    <row r="1071" spans="1:6" x14ac:dyDescent="0.25">
      <c r="A1071" t="str">
        <f>"28.0702"</f>
        <v>28.0702</v>
      </c>
      <c r="B1071" t="s">
        <v>1036</v>
      </c>
      <c r="C1071" t="s">
        <v>7</v>
      </c>
      <c r="D1071" t="s">
        <v>11</v>
      </c>
      <c r="E1071" t="str">
        <f>"28.0702"</f>
        <v>28.0702</v>
      </c>
      <c r="F1071" t="s">
        <v>1036</v>
      </c>
    </row>
    <row r="1072" spans="1:6" x14ac:dyDescent="0.25">
      <c r="A1072" t="str">
        <f>"28.0703"</f>
        <v>28.0703</v>
      </c>
      <c r="B1072" t="s">
        <v>1037</v>
      </c>
      <c r="C1072" t="s">
        <v>7</v>
      </c>
      <c r="D1072" t="s">
        <v>11</v>
      </c>
      <c r="E1072" t="str">
        <f>"28.0703"</f>
        <v>28.0703</v>
      </c>
      <c r="F1072" t="s">
        <v>1037</v>
      </c>
    </row>
    <row r="1073" spans="1:6" x14ac:dyDescent="0.25">
      <c r="A1073" t="str">
        <f>"28.0799"</f>
        <v>28.0799</v>
      </c>
      <c r="B1073" t="s">
        <v>1038</v>
      </c>
      <c r="C1073" t="s">
        <v>7</v>
      </c>
      <c r="D1073" t="s">
        <v>11</v>
      </c>
      <c r="E1073" t="str">
        <f>"28.0799"</f>
        <v>28.0799</v>
      </c>
      <c r="F1073" t="s">
        <v>1038</v>
      </c>
    </row>
    <row r="1074" spans="1:6" x14ac:dyDescent="0.25">
      <c r="C1074" t="s">
        <v>26</v>
      </c>
      <c r="D1074" t="s">
        <v>11</v>
      </c>
      <c r="E1074" t="str">
        <f>"28.08"</f>
        <v>28.08</v>
      </c>
      <c r="F1074" t="s">
        <v>42</v>
      </c>
    </row>
    <row r="1075" spans="1:6" x14ac:dyDescent="0.25">
      <c r="C1075" t="s">
        <v>26</v>
      </c>
      <c r="D1075" t="s">
        <v>11</v>
      </c>
      <c r="E1075" t="str">
        <f>"28.0801"</f>
        <v>28.0801</v>
      </c>
      <c r="F1075" t="s">
        <v>42</v>
      </c>
    </row>
    <row r="1076" spans="1:6" x14ac:dyDescent="0.25">
      <c r="A1076" t="str">
        <f>"28.99"</f>
        <v>28.99</v>
      </c>
      <c r="B1076" t="s">
        <v>1039</v>
      </c>
      <c r="C1076" t="s">
        <v>7</v>
      </c>
      <c r="D1076" t="s">
        <v>11</v>
      </c>
      <c r="E1076" t="str">
        <f>"28.99"</f>
        <v>28.99</v>
      </c>
      <c r="F1076" t="s">
        <v>1039</v>
      </c>
    </row>
    <row r="1077" spans="1:6" x14ac:dyDescent="0.25">
      <c r="A1077" t="str">
        <f>"28.9999"</f>
        <v>28.9999</v>
      </c>
      <c r="B1077" t="s">
        <v>1039</v>
      </c>
      <c r="C1077" t="s">
        <v>7</v>
      </c>
      <c r="D1077" t="s">
        <v>11</v>
      </c>
      <c r="E1077" t="str">
        <f>"28.9999"</f>
        <v>28.9999</v>
      </c>
      <c r="F1077" t="s">
        <v>1039</v>
      </c>
    </row>
    <row r="1078" spans="1:6" x14ac:dyDescent="0.25">
      <c r="A1078" t="str">
        <f>"29"</f>
        <v>29</v>
      </c>
      <c r="B1078" t="s">
        <v>1040</v>
      </c>
      <c r="C1078" t="s">
        <v>7</v>
      </c>
      <c r="D1078" t="s">
        <v>11</v>
      </c>
      <c r="E1078" t="str">
        <f>"29"</f>
        <v>29</v>
      </c>
      <c r="F1078" t="s">
        <v>1040</v>
      </c>
    </row>
    <row r="1079" spans="1:6" x14ac:dyDescent="0.25">
      <c r="A1079" t="str">
        <f>"29.02"</f>
        <v>29.02</v>
      </c>
      <c r="B1079" t="s">
        <v>1041</v>
      </c>
      <c r="C1079" t="s">
        <v>7</v>
      </c>
      <c r="D1079" t="s">
        <v>11</v>
      </c>
      <c r="E1079" t="str">
        <f>"29.02"</f>
        <v>29.02</v>
      </c>
      <c r="F1079" t="s">
        <v>1041</v>
      </c>
    </row>
    <row r="1080" spans="1:6" x14ac:dyDescent="0.25">
      <c r="A1080" t="str">
        <f>"29.0201"</f>
        <v>29.0201</v>
      </c>
      <c r="B1080" t="s">
        <v>1042</v>
      </c>
      <c r="C1080" t="s">
        <v>7</v>
      </c>
      <c r="D1080" t="s">
        <v>11</v>
      </c>
      <c r="E1080" t="str">
        <f>"29.0201"</f>
        <v>29.0201</v>
      </c>
      <c r="F1080" t="s">
        <v>1042</v>
      </c>
    </row>
    <row r="1081" spans="1:6" x14ac:dyDescent="0.25">
      <c r="A1081" t="str">
        <f>"29.0202"</f>
        <v>29.0202</v>
      </c>
      <c r="B1081" t="s">
        <v>1043</v>
      </c>
      <c r="C1081" t="s">
        <v>7</v>
      </c>
      <c r="D1081" t="s">
        <v>11</v>
      </c>
      <c r="E1081" t="str">
        <f>"29.0202"</f>
        <v>29.0202</v>
      </c>
      <c r="F1081" t="s">
        <v>1043</v>
      </c>
    </row>
    <row r="1082" spans="1:6" x14ac:dyDescent="0.25">
      <c r="A1082" t="str">
        <f>"29.0203"</f>
        <v>29.0203</v>
      </c>
      <c r="B1082" t="s">
        <v>1044</v>
      </c>
      <c r="C1082" t="s">
        <v>7</v>
      </c>
      <c r="D1082" t="s">
        <v>11</v>
      </c>
      <c r="E1082" t="str">
        <f>"29.0203"</f>
        <v>29.0203</v>
      </c>
      <c r="F1082" t="s">
        <v>1044</v>
      </c>
    </row>
    <row r="1083" spans="1:6" x14ac:dyDescent="0.25">
      <c r="A1083" t="str">
        <f>"29.0204"</f>
        <v>29.0204</v>
      </c>
      <c r="B1083" t="s">
        <v>1045</v>
      </c>
      <c r="C1083" t="s">
        <v>7</v>
      </c>
      <c r="D1083" t="s">
        <v>11</v>
      </c>
      <c r="E1083" t="str">
        <f>"29.0204"</f>
        <v>29.0204</v>
      </c>
      <c r="F1083" t="s">
        <v>1045</v>
      </c>
    </row>
    <row r="1084" spans="1:6" x14ac:dyDescent="0.25">
      <c r="A1084" t="str">
        <f>"29.0205"</f>
        <v>29.0205</v>
      </c>
      <c r="B1084" t="s">
        <v>1046</v>
      </c>
      <c r="C1084" t="s">
        <v>7</v>
      </c>
      <c r="D1084" t="s">
        <v>11</v>
      </c>
      <c r="E1084" t="str">
        <f>"29.0205"</f>
        <v>29.0205</v>
      </c>
      <c r="F1084" t="s">
        <v>1046</v>
      </c>
    </row>
    <row r="1085" spans="1:6" x14ac:dyDescent="0.25">
      <c r="A1085" t="str">
        <f>"29.0206"</f>
        <v>29.0206</v>
      </c>
      <c r="B1085" t="s">
        <v>1047</v>
      </c>
      <c r="C1085" t="s">
        <v>7</v>
      </c>
      <c r="D1085" t="s">
        <v>11</v>
      </c>
      <c r="E1085" t="str">
        <f>"29.0206"</f>
        <v>29.0206</v>
      </c>
      <c r="F1085" t="s">
        <v>1047</v>
      </c>
    </row>
    <row r="1086" spans="1:6" x14ac:dyDescent="0.25">
      <c r="A1086" t="str">
        <f>"29.0207"</f>
        <v>29.0207</v>
      </c>
      <c r="B1086" t="s">
        <v>1048</v>
      </c>
      <c r="C1086" t="s">
        <v>7</v>
      </c>
      <c r="D1086" t="s">
        <v>11</v>
      </c>
      <c r="E1086" t="str">
        <f>"29.0207"</f>
        <v>29.0207</v>
      </c>
      <c r="F1086" t="s">
        <v>1048</v>
      </c>
    </row>
    <row r="1087" spans="1:6" x14ac:dyDescent="0.25">
      <c r="A1087" t="str">
        <f>"29.0299"</f>
        <v>29.0299</v>
      </c>
      <c r="B1087" t="s">
        <v>1049</v>
      </c>
      <c r="C1087" t="s">
        <v>7</v>
      </c>
      <c r="D1087" t="s">
        <v>11</v>
      </c>
      <c r="E1087" t="str">
        <f>"29.0299"</f>
        <v>29.0299</v>
      </c>
      <c r="F1087" t="s">
        <v>1049</v>
      </c>
    </row>
    <row r="1088" spans="1:6" x14ac:dyDescent="0.25">
      <c r="A1088" t="str">
        <f>"29.03"</f>
        <v>29.03</v>
      </c>
      <c r="B1088" t="s">
        <v>1050</v>
      </c>
      <c r="C1088" t="s">
        <v>7</v>
      </c>
      <c r="D1088" t="s">
        <v>11</v>
      </c>
      <c r="E1088" t="str">
        <f>"29.03"</f>
        <v>29.03</v>
      </c>
      <c r="F1088" t="s">
        <v>1050</v>
      </c>
    </row>
    <row r="1089" spans="1:6" x14ac:dyDescent="0.25">
      <c r="A1089" t="str">
        <f>"29.0301"</f>
        <v>29.0301</v>
      </c>
      <c r="B1089" t="s">
        <v>1051</v>
      </c>
      <c r="C1089" t="s">
        <v>7</v>
      </c>
      <c r="D1089" t="s">
        <v>11</v>
      </c>
      <c r="E1089" t="str">
        <f>"29.0301"</f>
        <v>29.0301</v>
      </c>
      <c r="F1089" t="s">
        <v>1051</v>
      </c>
    </row>
    <row r="1090" spans="1:6" x14ac:dyDescent="0.25">
      <c r="A1090" t="str">
        <f>"29.0302"</f>
        <v>29.0302</v>
      </c>
      <c r="B1090" t="s">
        <v>1052</v>
      </c>
      <c r="C1090" t="s">
        <v>7</v>
      </c>
      <c r="D1090" t="s">
        <v>11</v>
      </c>
      <c r="E1090" t="str">
        <f>"29.0302"</f>
        <v>29.0302</v>
      </c>
      <c r="F1090" t="s">
        <v>1052</v>
      </c>
    </row>
    <row r="1091" spans="1:6" x14ac:dyDescent="0.25">
      <c r="A1091" t="str">
        <f>"29.0303"</f>
        <v>29.0303</v>
      </c>
      <c r="B1091" t="s">
        <v>1053</v>
      </c>
      <c r="C1091" t="s">
        <v>7</v>
      </c>
      <c r="D1091" t="s">
        <v>11</v>
      </c>
      <c r="E1091" t="str">
        <f>"29.0303"</f>
        <v>29.0303</v>
      </c>
      <c r="F1091" t="s">
        <v>1053</v>
      </c>
    </row>
    <row r="1092" spans="1:6" x14ac:dyDescent="0.25">
      <c r="A1092" t="str">
        <f>"29.0304"</f>
        <v>29.0304</v>
      </c>
      <c r="B1092" t="s">
        <v>1054</v>
      </c>
      <c r="C1092" t="s">
        <v>7</v>
      </c>
      <c r="D1092" t="s">
        <v>11</v>
      </c>
      <c r="E1092" t="str">
        <f>"29.0304"</f>
        <v>29.0304</v>
      </c>
      <c r="F1092" t="s">
        <v>1054</v>
      </c>
    </row>
    <row r="1093" spans="1:6" x14ac:dyDescent="0.25">
      <c r="A1093" t="str">
        <f>"29.0305"</f>
        <v>29.0305</v>
      </c>
      <c r="B1093" t="s">
        <v>1055</v>
      </c>
      <c r="C1093" t="s">
        <v>7</v>
      </c>
      <c r="D1093" t="s">
        <v>11</v>
      </c>
      <c r="E1093" t="str">
        <f>"29.0305"</f>
        <v>29.0305</v>
      </c>
      <c r="F1093" t="s">
        <v>1055</v>
      </c>
    </row>
    <row r="1094" spans="1:6" x14ac:dyDescent="0.25">
      <c r="A1094" t="str">
        <f>"29.0306"</f>
        <v>29.0306</v>
      </c>
      <c r="B1094" t="s">
        <v>1056</v>
      </c>
      <c r="C1094" t="s">
        <v>7</v>
      </c>
      <c r="D1094" t="s">
        <v>11</v>
      </c>
      <c r="E1094" t="str">
        <f>"29.0306"</f>
        <v>29.0306</v>
      </c>
      <c r="F1094" t="s">
        <v>1056</v>
      </c>
    </row>
    <row r="1095" spans="1:6" x14ac:dyDescent="0.25">
      <c r="A1095" t="str">
        <f>"29.0307"</f>
        <v>29.0307</v>
      </c>
      <c r="B1095" t="s">
        <v>1057</v>
      </c>
      <c r="C1095" t="s">
        <v>7</v>
      </c>
      <c r="D1095" t="s">
        <v>11</v>
      </c>
      <c r="E1095" t="str">
        <f>"29.0307"</f>
        <v>29.0307</v>
      </c>
      <c r="F1095" t="s">
        <v>1057</v>
      </c>
    </row>
    <row r="1096" spans="1:6" x14ac:dyDescent="0.25">
      <c r="A1096" t="str">
        <f>"29.0399"</f>
        <v>29.0399</v>
      </c>
      <c r="B1096" t="s">
        <v>1058</v>
      </c>
      <c r="C1096" t="s">
        <v>7</v>
      </c>
      <c r="D1096" t="s">
        <v>11</v>
      </c>
      <c r="E1096" t="str">
        <f>"29.0399"</f>
        <v>29.0399</v>
      </c>
      <c r="F1096" t="s">
        <v>1058</v>
      </c>
    </row>
    <row r="1097" spans="1:6" x14ac:dyDescent="0.25">
      <c r="A1097" t="str">
        <f>"29.04"</f>
        <v>29.04</v>
      </c>
      <c r="B1097" t="s">
        <v>1059</v>
      </c>
      <c r="C1097" t="s">
        <v>7</v>
      </c>
      <c r="D1097" t="s">
        <v>11</v>
      </c>
      <c r="E1097" t="str">
        <f>"29.04"</f>
        <v>29.04</v>
      </c>
      <c r="F1097" t="s">
        <v>1059</v>
      </c>
    </row>
    <row r="1098" spans="1:6" x14ac:dyDescent="0.25">
      <c r="A1098" t="str">
        <f>"29.0401"</f>
        <v>29.0401</v>
      </c>
      <c r="B1098" t="s">
        <v>1060</v>
      </c>
      <c r="C1098" t="s">
        <v>7</v>
      </c>
      <c r="D1098" t="s">
        <v>11</v>
      </c>
      <c r="E1098" t="str">
        <f>"29.0401"</f>
        <v>29.0401</v>
      </c>
      <c r="F1098" t="s">
        <v>1060</v>
      </c>
    </row>
    <row r="1099" spans="1:6" x14ac:dyDescent="0.25">
      <c r="A1099" t="str">
        <f>"29.0402"</f>
        <v>29.0402</v>
      </c>
      <c r="B1099" t="s">
        <v>1061</v>
      </c>
      <c r="C1099" t="s">
        <v>7</v>
      </c>
      <c r="D1099" t="s">
        <v>11</v>
      </c>
      <c r="E1099" t="str">
        <f>"29.0402"</f>
        <v>29.0402</v>
      </c>
      <c r="F1099" t="s">
        <v>1061</v>
      </c>
    </row>
    <row r="1100" spans="1:6" x14ac:dyDescent="0.25">
      <c r="A1100" t="str">
        <f>"29.0403"</f>
        <v>29.0403</v>
      </c>
      <c r="B1100" t="s">
        <v>1062</v>
      </c>
      <c r="C1100" t="s">
        <v>7</v>
      </c>
      <c r="D1100" t="s">
        <v>11</v>
      </c>
      <c r="E1100" t="str">
        <f>"29.0403"</f>
        <v>29.0403</v>
      </c>
      <c r="F1100" t="s">
        <v>1062</v>
      </c>
    </row>
    <row r="1101" spans="1:6" x14ac:dyDescent="0.25">
      <c r="A1101" t="str">
        <f>"29.0404"</f>
        <v>29.0404</v>
      </c>
      <c r="B1101" t="s">
        <v>1063</v>
      </c>
      <c r="C1101" t="s">
        <v>7</v>
      </c>
      <c r="D1101" t="s">
        <v>11</v>
      </c>
      <c r="E1101" t="str">
        <f>"29.0404"</f>
        <v>29.0404</v>
      </c>
      <c r="F1101" t="s">
        <v>1063</v>
      </c>
    </row>
    <row r="1102" spans="1:6" x14ac:dyDescent="0.25">
      <c r="A1102" t="str">
        <f>"29.0405"</f>
        <v>29.0405</v>
      </c>
      <c r="B1102" t="s">
        <v>1064</v>
      </c>
      <c r="C1102" t="s">
        <v>7</v>
      </c>
      <c r="D1102" t="s">
        <v>11</v>
      </c>
      <c r="E1102" t="str">
        <f>"29.0405"</f>
        <v>29.0405</v>
      </c>
      <c r="F1102" t="s">
        <v>1064</v>
      </c>
    </row>
    <row r="1103" spans="1:6" x14ac:dyDescent="0.25">
      <c r="A1103" t="str">
        <f>"29.0406"</f>
        <v>29.0406</v>
      </c>
      <c r="B1103" t="s">
        <v>1065</v>
      </c>
      <c r="C1103" t="s">
        <v>7</v>
      </c>
      <c r="D1103" t="s">
        <v>11</v>
      </c>
      <c r="E1103" t="str">
        <f>"29.0406"</f>
        <v>29.0406</v>
      </c>
      <c r="F1103" t="s">
        <v>1065</v>
      </c>
    </row>
    <row r="1104" spans="1:6" x14ac:dyDescent="0.25">
      <c r="A1104" t="str">
        <f>"29.0407"</f>
        <v>29.0407</v>
      </c>
      <c r="B1104" t="s">
        <v>1066</v>
      </c>
      <c r="C1104" t="s">
        <v>7</v>
      </c>
      <c r="D1104" t="s">
        <v>11</v>
      </c>
      <c r="E1104" t="str">
        <f>"29.0407"</f>
        <v>29.0407</v>
      </c>
      <c r="F1104" t="s">
        <v>1066</v>
      </c>
    </row>
    <row r="1105" spans="1:6" x14ac:dyDescent="0.25">
      <c r="A1105" t="str">
        <f>"29.0408"</f>
        <v>29.0408</v>
      </c>
      <c r="B1105" t="s">
        <v>1067</v>
      </c>
      <c r="C1105" t="s">
        <v>7</v>
      </c>
      <c r="D1105" t="s">
        <v>11</v>
      </c>
      <c r="E1105" t="str">
        <f>"29.0408"</f>
        <v>29.0408</v>
      </c>
      <c r="F1105" t="s">
        <v>1067</v>
      </c>
    </row>
    <row r="1106" spans="1:6" x14ac:dyDescent="0.25">
      <c r="A1106" t="str">
        <f>"29.0409"</f>
        <v>29.0409</v>
      </c>
      <c r="B1106" t="s">
        <v>1068</v>
      </c>
      <c r="C1106" t="s">
        <v>7</v>
      </c>
      <c r="D1106" t="s">
        <v>11</v>
      </c>
      <c r="E1106" t="str">
        <f>"29.0409"</f>
        <v>29.0409</v>
      </c>
      <c r="F1106" t="s">
        <v>1068</v>
      </c>
    </row>
    <row r="1107" spans="1:6" x14ac:dyDescent="0.25">
      <c r="A1107" t="str">
        <f>"29.0499"</f>
        <v>29.0499</v>
      </c>
      <c r="B1107" t="s">
        <v>1069</v>
      </c>
      <c r="C1107" t="s">
        <v>7</v>
      </c>
      <c r="D1107" t="s">
        <v>11</v>
      </c>
      <c r="E1107" t="str">
        <f>"29.0499"</f>
        <v>29.0499</v>
      </c>
      <c r="F1107" t="s">
        <v>1069</v>
      </c>
    </row>
    <row r="1108" spans="1:6" x14ac:dyDescent="0.25">
      <c r="C1108" t="s">
        <v>26</v>
      </c>
      <c r="D1108" t="s">
        <v>11</v>
      </c>
      <c r="E1108" t="str">
        <f>"29.05"</f>
        <v>29.05</v>
      </c>
      <c r="F1108" t="s">
        <v>42</v>
      </c>
    </row>
    <row r="1109" spans="1:6" x14ac:dyDescent="0.25">
      <c r="C1109" t="s">
        <v>26</v>
      </c>
      <c r="D1109" t="s">
        <v>11</v>
      </c>
      <c r="E1109" t="str">
        <f>"29.0501"</f>
        <v>29.0501</v>
      </c>
      <c r="F1109" t="s">
        <v>42</v>
      </c>
    </row>
    <row r="1110" spans="1:6" x14ac:dyDescent="0.25">
      <c r="C1110" t="s">
        <v>26</v>
      </c>
      <c r="D1110" t="s">
        <v>11</v>
      </c>
      <c r="E1110" t="str">
        <f>"29.06"</f>
        <v>29.06</v>
      </c>
      <c r="F1110" t="s">
        <v>1070</v>
      </c>
    </row>
    <row r="1111" spans="1:6" x14ac:dyDescent="0.25">
      <c r="C1111" t="s">
        <v>26</v>
      </c>
      <c r="D1111" t="s">
        <v>11</v>
      </c>
      <c r="E1111" t="str">
        <f>"29.0601"</f>
        <v>29.0601</v>
      </c>
      <c r="F1111" t="s">
        <v>1070</v>
      </c>
    </row>
    <row r="1112" spans="1:6" x14ac:dyDescent="0.25">
      <c r="A1112" t="str">
        <f>"29.99"</f>
        <v>29.99</v>
      </c>
      <c r="B1112" t="s">
        <v>1071</v>
      </c>
      <c r="C1112" t="s">
        <v>7</v>
      </c>
      <c r="D1112" t="s">
        <v>11</v>
      </c>
      <c r="E1112" t="str">
        <f>"29.99"</f>
        <v>29.99</v>
      </c>
      <c r="F1112" t="s">
        <v>1071</v>
      </c>
    </row>
    <row r="1113" spans="1:6" x14ac:dyDescent="0.25">
      <c r="A1113" t="str">
        <f>"29.9999"</f>
        <v>29.9999</v>
      </c>
      <c r="B1113" t="s">
        <v>1071</v>
      </c>
      <c r="C1113" t="s">
        <v>7</v>
      </c>
      <c r="D1113" t="s">
        <v>11</v>
      </c>
      <c r="E1113" t="str">
        <f>"29.9999"</f>
        <v>29.9999</v>
      </c>
      <c r="F1113" t="s">
        <v>1071</v>
      </c>
    </row>
    <row r="1114" spans="1:6" x14ac:dyDescent="0.25">
      <c r="A1114" t="str">
        <f>"30"</f>
        <v>30</v>
      </c>
      <c r="B1114" t="s">
        <v>1072</v>
      </c>
      <c r="C1114" t="s">
        <v>7</v>
      </c>
      <c r="D1114" t="s">
        <v>11</v>
      </c>
      <c r="E1114" t="str">
        <f>"30"</f>
        <v>30</v>
      </c>
      <c r="F1114" t="s">
        <v>1072</v>
      </c>
    </row>
    <row r="1115" spans="1:6" x14ac:dyDescent="0.25">
      <c r="A1115" t="str">
        <f>"30.00"</f>
        <v>30.00</v>
      </c>
      <c r="B1115" t="s">
        <v>1073</v>
      </c>
      <c r="C1115" t="s">
        <v>7</v>
      </c>
      <c r="D1115" t="s">
        <v>11</v>
      </c>
      <c r="E1115" t="str">
        <f>"30.00"</f>
        <v>30.00</v>
      </c>
      <c r="F1115" t="s">
        <v>1073</v>
      </c>
    </row>
    <row r="1116" spans="1:6" x14ac:dyDescent="0.25">
      <c r="A1116" t="str">
        <f>"30.0000"</f>
        <v>30.0000</v>
      </c>
      <c r="B1116" t="s">
        <v>1073</v>
      </c>
      <c r="C1116" t="s">
        <v>7</v>
      </c>
      <c r="D1116" t="s">
        <v>11</v>
      </c>
      <c r="E1116" t="str">
        <f>"30.0000"</f>
        <v>30.0000</v>
      </c>
      <c r="F1116" t="s">
        <v>1073</v>
      </c>
    </row>
    <row r="1117" spans="1:6" x14ac:dyDescent="0.25">
      <c r="C1117" t="s">
        <v>26</v>
      </c>
      <c r="D1117" t="s">
        <v>11</v>
      </c>
      <c r="E1117" t="str">
        <f>"30.0001"</f>
        <v>30.0001</v>
      </c>
      <c r="F1117" t="s">
        <v>1074</v>
      </c>
    </row>
    <row r="1118" spans="1:6" x14ac:dyDescent="0.25">
      <c r="A1118" t="str">
        <f>"30.01"</f>
        <v>30.01</v>
      </c>
      <c r="B1118" t="s">
        <v>1075</v>
      </c>
      <c r="C1118" t="s">
        <v>7</v>
      </c>
      <c r="D1118" t="s">
        <v>11</v>
      </c>
      <c r="E1118" t="str">
        <f>"30.01"</f>
        <v>30.01</v>
      </c>
      <c r="F1118" t="s">
        <v>1075</v>
      </c>
    </row>
    <row r="1119" spans="1:6" x14ac:dyDescent="0.25">
      <c r="A1119" t="str">
        <f>"30.0101"</f>
        <v>30.0101</v>
      </c>
      <c r="B1119" t="s">
        <v>1075</v>
      </c>
      <c r="C1119" t="s">
        <v>7</v>
      </c>
      <c r="D1119" t="s">
        <v>11</v>
      </c>
      <c r="E1119" t="str">
        <f>"30.0101"</f>
        <v>30.0101</v>
      </c>
      <c r="F1119" t="s">
        <v>1075</v>
      </c>
    </row>
    <row r="1120" spans="1:6" x14ac:dyDescent="0.25">
      <c r="A1120" t="str">
        <f>"30.05"</f>
        <v>30.05</v>
      </c>
      <c r="B1120" t="s">
        <v>1076</v>
      </c>
      <c r="C1120" t="s">
        <v>7</v>
      </c>
      <c r="D1120" t="s">
        <v>11</v>
      </c>
      <c r="E1120" t="str">
        <f>"30.05"</f>
        <v>30.05</v>
      </c>
      <c r="F1120" t="s">
        <v>1076</v>
      </c>
    </row>
    <row r="1121" spans="1:6" x14ac:dyDescent="0.25">
      <c r="A1121" t="str">
        <f>"30.0501"</f>
        <v>30.0501</v>
      </c>
      <c r="B1121" t="s">
        <v>1076</v>
      </c>
      <c r="C1121" t="s">
        <v>7</v>
      </c>
      <c r="D1121" t="s">
        <v>11</v>
      </c>
      <c r="E1121" t="str">
        <f>"30.0501"</f>
        <v>30.0501</v>
      </c>
      <c r="F1121" t="s">
        <v>1076</v>
      </c>
    </row>
    <row r="1122" spans="1:6" x14ac:dyDescent="0.25">
      <c r="A1122" t="str">
        <f>"30.06"</f>
        <v>30.06</v>
      </c>
      <c r="B1122" t="s">
        <v>1077</v>
      </c>
      <c r="C1122" t="s">
        <v>7</v>
      </c>
      <c r="D1122" t="s">
        <v>11</v>
      </c>
      <c r="E1122" t="str">
        <f>"30.06"</f>
        <v>30.06</v>
      </c>
      <c r="F1122" t="s">
        <v>1077</v>
      </c>
    </row>
    <row r="1123" spans="1:6" x14ac:dyDescent="0.25">
      <c r="A1123" t="str">
        <f>"30.0601"</f>
        <v>30.0601</v>
      </c>
      <c r="B1123" t="s">
        <v>1077</v>
      </c>
      <c r="C1123" t="s">
        <v>7</v>
      </c>
      <c r="D1123" t="s">
        <v>11</v>
      </c>
      <c r="E1123" t="str">
        <f>"30.0601"</f>
        <v>30.0601</v>
      </c>
      <c r="F1123" t="s">
        <v>1077</v>
      </c>
    </row>
    <row r="1124" spans="1:6" x14ac:dyDescent="0.25">
      <c r="A1124" t="str">
        <f>"30.08"</f>
        <v>30.08</v>
      </c>
      <c r="B1124" t="s">
        <v>1078</v>
      </c>
      <c r="C1124" t="s">
        <v>7</v>
      </c>
      <c r="D1124" t="s">
        <v>11</v>
      </c>
      <c r="E1124" t="str">
        <f>"30.08"</f>
        <v>30.08</v>
      </c>
      <c r="F1124" t="s">
        <v>1078</v>
      </c>
    </row>
    <row r="1125" spans="1:6" x14ac:dyDescent="0.25">
      <c r="A1125" t="str">
        <f>"30.0801"</f>
        <v>30.0801</v>
      </c>
      <c r="B1125" t="s">
        <v>1078</v>
      </c>
      <c r="C1125" t="s">
        <v>7</v>
      </c>
      <c r="D1125" t="s">
        <v>11</v>
      </c>
      <c r="E1125" t="str">
        <f>"30.0801"</f>
        <v>30.0801</v>
      </c>
      <c r="F1125" t="s">
        <v>1078</v>
      </c>
    </row>
    <row r="1126" spans="1:6" x14ac:dyDescent="0.25">
      <c r="A1126" t="str">
        <f>"30.10"</f>
        <v>30.10</v>
      </c>
      <c r="B1126" t="s">
        <v>1079</v>
      </c>
      <c r="C1126" t="s">
        <v>7</v>
      </c>
      <c r="D1126" t="s">
        <v>11</v>
      </c>
      <c r="E1126" t="str">
        <f>"30.10"</f>
        <v>30.10</v>
      </c>
      <c r="F1126" t="s">
        <v>1079</v>
      </c>
    </row>
    <row r="1127" spans="1:6" x14ac:dyDescent="0.25">
      <c r="A1127" t="str">
        <f>"30.1001"</f>
        <v>30.1001</v>
      </c>
      <c r="B1127" t="s">
        <v>1079</v>
      </c>
      <c r="C1127" t="s">
        <v>7</v>
      </c>
      <c r="D1127" t="s">
        <v>11</v>
      </c>
      <c r="E1127" t="str">
        <f>"30.1001"</f>
        <v>30.1001</v>
      </c>
      <c r="F1127" t="s">
        <v>1079</v>
      </c>
    </row>
    <row r="1128" spans="1:6" x14ac:dyDescent="0.25">
      <c r="A1128" t="str">
        <f>"30.11"</f>
        <v>30.11</v>
      </c>
      <c r="B1128" t="s">
        <v>1080</v>
      </c>
      <c r="C1128" t="s">
        <v>7</v>
      </c>
      <c r="D1128" t="s">
        <v>11</v>
      </c>
      <c r="E1128" t="str">
        <f>"30.11"</f>
        <v>30.11</v>
      </c>
      <c r="F1128" t="s">
        <v>1080</v>
      </c>
    </row>
    <row r="1129" spans="1:6" x14ac:dyDescent="0.25">
      <c r="A1129" t="str">
        <f>"30.1101"</f>
        <v>30.1101</v>
      </c>
      <c r="B1129" t="s">
        <v>1080</v>
      </c>
      <c r="C1129" t="s">
        <v>7</v>
      </c>
      <c r="D1129" t="s">
        <v>11</v>
      </c>
      <c r="E1129" t="str">
        <f>"30.1101"</f>
        <v>30.1101</v>
      </c>
      <c r="F1129" t="s">
        <v>1080</v>
      </c>
    </row>
    <row r="1130" spans="1:6" x14ac:dyDescent="0.25">
      <c r="A1130" t="str">
        <f>"30.12"</f>
        <v>30.12</v>
      </c>
      <c r="B1130" t="s">
        <v>1081</v>
      </c>
      <c r="C1130" t="s">
        <v>7</v>
      </c>
      <c r="D1130" t="s">
        <v>11</v>
      </c>
      <c r="E1130" t="str">
        <f>"30.12"</f>
        <v>30.12</v>
      </c>
      <c r="F1130" t="s">
        <v>1081</v>
      </c>
    </row>
    <row r="1131" spans="1:6" x14ac:dyDescent="0.25">
      <c r="A1131" t="str">
        <f>"30.1201"</f>
        <v>30.1201</v>
      </c>
      <c r="B1131" t="s">
        <v>1081</v>
      </c>
      <c r="C1131" t="s">
        <v>7</v>
      </c>
      <c r="D1131" t="s">
        <v>8</v>
      </c>
      <c r="E1131" t="str">
        <f>"30.1201"</f>
        <v>30.1201</v>
      </c>
      <c r="F1131" t="s">
        <v>1082</v>
      </c>
    </row>
    <row r="1132" spans="1:6" x14ac:dyDescent="0.25">
      <c r="A1132" t="str">
        <f>"30.1202"</f>
        <v>30.1202</v>
      </c>
      <c r="B1132" t="s">
        <v>1083</v>
      </c>
      <c r="C1132" t="s">
        <v>7</v>
      </c>
      <c r="D1132" t="s">
        <v>11</v>
      </c>
      <c r="E1132" t="str">
        <f>"30.1202"</f>
        <v>30.1202</v>
      </c>
      <c r="F1132" t="s">
        <v>1083</v>
      </c>
    </row>
    <row r="1133" spans="1:6" x14ac:dyDescent="0.25">
      <c r="A1133" t="str">
        <f>"30.1299"</f>
        <v>30.1299</v>
      </c>
      <c r="B1133" t="s">
        <v>1084</v>
      </c>
      <c r="C1133" t="s">
        <v>7</v>
      </c>
      <c r="D1133" t="s">
        <v>11</v>
      </c>
      <c r="E1133" t="str">
        <f>"30.1299"</f>
        <v>30.1299</v>
      </c>
      <c r="F1133" t="s">
        <v>1084</v>
      </c>
    </row>
    <row r="1134" spans="1:6" x14ac:dyDescent="0.25">
      <c r="A1134" t="str">
        <f>"30.13"</f>
        <v>30.13</v>
      </c>
      <c r="B1134" t="s">
        <v>1085</v>
      </c>
      <c r="C1134" t="s">
        <v>7</v>
      </c>
      <c r="D1134" t="s">
        <v>11</v>
      </c>
      <c r="E1134" t="str">
        <f>"30.13"</f>
        <v>30.13</v>
      </c>
      <c r="F1134" t="s">
        <v>1085</v>
      </c>
    </row>
    <row r="1135" spans="1:6" x14ac:dyDescent="0.25">
      <c r="A1135" t="str">
        <f>"30.1301"</f>
        <v>30.1301</v>
      </c>
      <c r="B1135" t="s">
        <v>1085</v>
      </c>
      <c r="C1135" t="s">
        <v>7</v>
      </c>
      <c r="D1135" t="s">
        <v>11</v>
      </c>
      <c r="E1135" t="str">
        <f>"30.1301"</f>
        <v>30.1301</v>
      </c>
      <c r="F1135" t="s">
        <v>1085</v>
      </c>
    </row>
    <row r="1136" spans="1:6" x14ac:dyDescent="0.25">
      <c r="A1136" t="str">
        <f>"30.14"</f>
        <v>30.14</v>
      </c>
      <c r="B1136" t="s">
        <v>1086</v>
      </c>
      <c r="C1136" t="s">
        <v>7</v>
      </c>
      <c r="D1136" t="s">
        <v>11</v>
      </c>
      <c r="E1136" t="str">
        <f>"30.14"</f>
        <v>30.14</v>
      </c>
      <c r="F1136" t="s">
        <v>1086</v>
      </c>
    </row>
    <row r="1137" spans="1:6" x14ac:dyDescent="0.25">
      <c r="A1137" t="str">
        <f>"30.1401"</f>
        <v>30.1401</v>
      </c>
      <c r="B1137" t="s">
        <v>1086</v>
      </c>
      <c r="C1137" t="s">
        <v>7</v>
      </c>
      <c r="D1137" t="s">
        <v>11</v>
      </c>
      <c r="E1137" t="str">
        <f>"30.1401"</f>
        <v>30.1401</v>
      </c>
      <c r="F1137" t="s">
        <v>1086</v>
      </c>
    </row>
    <row r="1138" spans="1:6" x14ac:dyDescent="0.25">
      <c r="A1138" t="str">
        <f>"30.15"</f>
        <v>30.15</v>
      </c>
      <c r="B1138" t="s">
        <v>1087</v>
      </c>
      <c r="C1138" t="s">
        <v>7</v>
      </c>
      <c r="D1138" t="s">
        <v>11</v>
      </c>
      <c r="E1138" t="str">
        <f>"30.15"</f>
        <v>30.15</v>
      </c>
      <c r="F1138" t="s">
        <v>1087</v>
      </c>
    </row>
    <row r="1139" spans="1:6" x14ac:dyDescent="0.25">
      <c r="A1139" t="str">
        <f>"30.1501"</f>
        <v>30.1501</v>
      </c>
      <c r="B1139" t="s">
        <v>1087</v>
      </c>
      <c r="C1139" t="s">
        <v>7</v>
      </c>
      <c r="D1139" t="s">
        <v>11</v>
      </c>
      <c r="E1139" t="str">
        <f>"30.1501"</f>
        <v>30.1501</v>
      </c>
      <c r="F1139" t="s">
        <v>1087</v>
      </c>
    </row>
    <row r="1140" spans="1:6" x14ac:dyDescent="0.25">
      <c r="A1140" t="str">
        <f>"30.16"</f>
        <v>30.16</v>
      </c>
      <c r="B1140" t="s">
        <v>1088</v>
      </c>
      <c r="C1140" t="s">
        <v>7</v>
      </c>
      <c r="D1140" t="s">
        <v>11</v>
      </c>
      <c r="E1140" t="str">
        <f>"30.16"</f>
        <v>30.16</v>
      </c>
      <c r="F1140" t="s">
        <v>1088</v>
      </c>
    </row>
    <row r="1141" spans="1:6" x14ac:dyDescent="0.25">
      <c r="A1141" t="str">
        <f>"30.1601"</f>
        <v>30.1601</v>
      </c>
      <c r="B1141" t="s">
        <v>1088</v>
      </c>
      <c r="C1141" t="s">
        <v>7</v>
      </c>
      <c r="D1141" t="s">
        <v>11</v>
      </c>
      <c r="E1141" t="str">
        <f>"30.1601"</f>
        <v>30.1601</v>
      </c>
      <c r="F1141" t="s">
        <v>1088</v>
      </c>
    </row>
    <row r="1142" spans="1:6" x14ac:dyDescent="0.25">
      <c r="A1142" t="str">
        <f>"30.17"</f>
        <v>30.17</v>
      </c>
      <c r="B1142" t="s">
        <v>1089</v>
      </c>
      <c r="C1142" t="s">
        <v>7</v>
      </c>
      <c r="D1142" t="s">
        <v>11</v>
      </c>
      <c r="E1142" t="str">
        <f>"30.17"</f>
        <v>30.17</v>
      </c>
      <c r="F1142" t="s">
        <v>1089</v>
      </c>
    </row>
    <row r="1143" spans="1:6" x14ac:dyDescent="0.25">
      <c r="A1143" t="str">
        <f>"30.1701"</f>
        <v>30.1701</v>
      </c>
      <c r="B1143" t="s">
        <v>1089</v>
      </c>
      <c r="C1143" t="s">
        <v>7</v>
      </c>
      <c r="D1143" t="s">
        <v>11</v>
      </c>
      <c r="E1143" t="str">
        <f>"30.1701"</f>
        <v>30.1701</v>
      </c>
      <c r="F1143" t="s">
        <v>1089</v>
      </c>
    </row>
    <row r="1144" spans="1:6" x14ac:dyDescent="0.25">
      <c r="A1144" t="str">
        <f>"30.18"</f>
        <v>30.18</v>
      </c>
      <c r="B1144" t="s">
        <v>1090</v>
      </c>
      <c r="C1144" t="s">
        <v>7</v>
      </c>
      <c r="D1144" t="s">
        <v>11</v>
      </c>
      <c r="E1144" t="str">
        <f>"30.18"</f>
        <v>30.18</v>
      </c>
      <c r="F1144" t="s">
        <v>1090</v>
      </c>
    </row>
    <row r="1145" spans="1:6" x14ac:dyDescent="0.25">
      <c r="A1145" t="str">
        <f>"30.1801"</f>
        <v>30.1801</v>
      </c>
      <c r="B1145" t="s">
        <v>1090</v>
      </c>
      <c r="C1145" t="s">
        <v>7</v>
      </c>
      <c r="D1145" t="s">
        <v>11</v>
      </c>
      <c r="E1145" t="str">
        <f>"30.1801"</f>
        <v>30.1801</v>
      </c>
      <c r="F1145" t="s">
        <v>1090</v>
      </c>
    </row>
    <row r="1146" spans="1:6" x14ac:dyDescent="0.25">
      <c r="A1146" t="str">
        <f>"30.19"</f>
        <v>30.19</v>
      </c>
      <c r="B1146" t="s">
        <v>1091</v>
      </c>
      <c r="C1146" t="s">
        <v>7</v>
      </c>
      <c r="D1146" t="s">
        <v>11</v>
      </c>
      <c r="E1146" t="str">
        <f>"30.19"</f>
        <v>30.19</v>
      </c>
      <c r="F1146" t="s">
        <v>1091</v>
      </c>
    </row>
    <row r="1147" spans="1:6" x14ac:dyDescent="0.25">
      <c r="A1147" t="str">
        <f>"30.1901"</f>
        <v>30.1901</v>
      </c>
      <c r="B1147" t="s">
        <v>1091</v>
      </c>
      <c r="C1147" t="s">
        <v>7</v>
      </c>
      <c r="D1147" t="s">
        <v>11</v>
      </c>
      <c r="E1147" t="str">
        <f>"30.1901"</f>
        <v>30.1901</v>
      </c>
      <c r="F1147" t="s">
        <v>1091</v>
      </c>
    </row>
    <row r="1148" spans="1:6" x14ac:dyDescent="0.25">
      <c r="A1148" t="str">
        <f>"30.20"</f>
        <v>30.20</v>
      </c>
      <c r="B1148" t="s">
        <v>1092</v>
      </c>
      <c r="C1148" t="s">
        <v>7</v>
      </c>
      <c r="D1148" t="s">
        <v>8</v>
      </c>
      <c r="E1148" t="str">
        <f>"30.20"</f>
        <v>30.20</v>
      </c>
      <c r="F1148" t="s">
        <v>1093</v>
      </c>
    </row>
    <row r="1149" spans="1:6" x14ac:dyDescent="0.25">
      <c r="A1149" t="str">
        <f>"30.2001"</f>
        <v>30.2001</v>
      </c>
      <c r="B1149" t="s">
        <v>1092</v>
      </c>
      <c r="C1149" t="s">
        <v>7</v>
      </c>
      <c r="D1149" t="s">
        <v>8</v>
      </c>
      <c r="E1149" t="str">
        <f>"30.2001"</f>
        <v>30.2001</v>
      </c>
      <c r="F1149" t="s">
        <v>1093</v>
      </c>
    </row>
    <row r="1150" spans="1:6" x14ac:dyDescent="0.25">
      <c r="A1150" t="str">
        <f>"30.21"</f>
        <v>30.21</v>
      </c>
      <c r="B1150" t="s">
        <v>1094</v>
      </c>
      <c r="C1150" t="s">
        <v>7</v>
      </c>
      <c r="D1150" t="s">
        <v>11</v>
      </c>
      <c r="E1150" t="str">
        <f>"30.21"</f>
        <v>30.21</v>
      </c>
      <c r="F1150" t="s">
        <v>1094</v>
      </c>
    </row>
    <row r="1151" spans="1:6" x14ac:dyDescent="0.25">
      <c r="A1151" t="str">
        <f>"30.2101"</f>
        <v>30.2101</v>
      </c>
      <c r="B1151" t="s">
        <v>1094</v>
      </c>
      <c r="C1151" t="s">
        <v>7</v>
      </c>
      <c r="D1151" t="s">
        <v>11</v>
      </c>
      <c r="E1151" t="str">
        <f>"30.2101"</f>
        <v>30.2101</v>
      </c>
      <c r="F1151" t="s">
        <v>1094</v>
      </c>
    </row>
    <row r="1152" spans="1:6" x14ac:dyDescent="0.25">
      <c r="A1152" t="str">
        <f>"30.22"</f>
        <v>30.22</v>
      </c>
      <c r="B1152" t="s">
        <v>1095</v>
      </c>
      <c r="C1152" t="s">
        <v>7</v>
      </c>
      <c r="D1152" t="s">
        <v>11</v>
      </c>
      <c r="E1152" t="str">
        <f>"30.22"</f>
        <v>30.22</v>
      </c>
      <c r="F1152" t="s">
        <v>1095</v>
      </c>
    </row>
    <row r="1153" spans="1:6" x14ac:dyDescent="0.25">
      <c r="A1153" t="str">
        <f>"30.2201"</f>
        <v>30.2201</v>
      </c>
      <c r="B1153" t="s">
        <v>1096</v>
      </c>
      <c r="C1153" t="s">
        <v>7</v>
      </c>
      <c r="D1153" t="s">
        <v>11</v>
      </c>
      <c r="E1153" t="str">
        <f>"30.2201"</f>
        <v>30.2201</v>
      </c>
      <c r="F1153" t="s">
        <v>1096</v>
      </c>
    </row>
    <row r="1154" spans="1:6" x14ac:dyDescent="0.25">
      <c r="A1154" t="str">
        <f>"30.2202"</f>
        <v>30.2202</v>
      </c>
      <c r="B1154" t="s">
        <v>1097</v>
      </c>
      <c r="C1154" t="s">
        <v>7</v>
      </c>
      <c r="D1154" t="s">
        <v>8</v>
      </c>
      <c r="E1154" t="str">
        <f>"30.2202"</f>
        <v>30.2202</v>
      </c>
      <c r="F1154" t="s">
        <v>1098</v>
      </c>
    </row>
    <row r="1155" spans="1:6" x14ac:dyDescent="0.25">
      <c r="C1155" t="s">
        <v>26</v>
      </c>
      <c r="D1155" t="s">
        <v>11</v>
      </c>
      <c r="E1155" t="str">
        <f>"30.2299"</f>
        <v>30.2299</v>
      </c>
      <c r="F1155" t="s">
        <v>1099</v>
      </c>
    </row>
    <row r="1156" spans="1:6" x14ac:dyDescent="0.25">
      <c r="A1156" t="str">
        <f>"30.23"</f>
        <v>30.23</v>
      </c>
      <c r="B1156" t="s">
        <v>1100</v>
      </c>
      <c r="C1156" t="s">
        <v>7</v>
      </c>
      <c r="D1156" t="s">
        <v>11</v>
      </c>
      <c r="E1156" t="str">
        <f>"30.23"</f>
        <v>30.23</v>
      </c>
      <c r="F1156" t="s">
        <v>1100</v>
      </c>
    </row>
    <row r="1157" spans="1:6" x14ac:dyDescent="0.25">
      <c r="A1157" t="str">
        <f>"30.2301"</f>
        <v>30.2301</v>
      </c>
      <c r="B1157" t="s">
        <v>1100</v>
      </c>
      <c r="C1157" t="s">
        <v>7</v>
      </c>
      <c r="D1157" t="s">
        <v>11</v>
      </c>
      <c r="E1157" t="str">
        <f>"30.2301"</f>
        <v>30.2301</v>
      </c>
      <c r="F1157" t="s">
        <v>1100</v>
      </c>
    </row>
    <row r="1158" spans="1:6" x14ac:dyDescent="0.25">
      <c r="A1158" t="str">
        <f>"30.25"</f>
        <v>30.25</v>
      </c>
      <c r="B1158" t="s">
        <v>1101</v>
      </c>
      <c r="C1158" t="s">
        <v>7</v>
      </c>
      <c r="D1158" t="s">
        <v>11</v>
      </c>
      <c r="E1158" t="str">
        <f>"30.25"</f>
        <v>30.25</v>
      </c>
      <c r="F1158" t="s">
        <v>1101</v>
      </c>
    </row>
    <row r="1159" spans="1:6" x14ac:dyDescent="0.25">
      <c r="A1159" t="str">
        <f>"30.2501"</f>
        <v>30.2501</v>
      </c>
      <c r="B1159" t="s">
        <v>1101</v>
      </c>
      <c r="C1159" t="s">
        <v>7</v>
      </c>
      <c r="D1159" t="s">
        <v>8</v>
      </c>
      <c r="E1159" t="str">
        <f>"30.2501"</f>
        <v>30.2501</v>
      </c>
      <c r="F1159" t="s">
        <v>1102</v>
      </c>
    </row>
    <row r="1160" spans="1:6" x14ac:dyDescent="0.25">
      <c r="C1160" t="s">
        <v>26</v>
      </c>
      <c r="D1160" t="s">
        <v>11</v>
      </c>
      <c r="E1160" t="str">
        <f>"30.2502"</f>
        <v>30.2502</v>
      </c>
      <c r="F1160" t="s">
        <v>1103</v>
      </c>
    </row>
    <row r="1161" spans="1:6" x14ac:dyDescent="0.25">
      <c r="C1161" t="s">
        <v>26</v>
      </c>
      <c r="D1161" t="s">
        <v>11</v>
      </c>
      <c r="E1161" t="str">
        <f>"30.2599"</f>
        <v>30.2599</v>
      </c>
      <c r="F1161" t="s">
        <v>1104</v>
      </c>
    </row>
    <row r="1162" spans="1:6" x14ac:dyDescent="0.25">
      <c r="A1162" t="str">
        <f>"30.26"</f>
        <v>30.26</v>
      </c>
      <c r="B1162" t="s">
        <v>1105</v>
      </c>
      <c r="C1162" t="s">
        <v>7</v>
      </c>
      <c r="D1162" t="s">
        <v>11</v>
      </c>
      <c r="E1162" t="str">
        <f>"30.26"</f>
        <v>30.26</v>
      </c>
      <c r="F1162" t="s">
        <v>1105</v>
      </c>
    </row>
    <row r="1163" spans="1:6" x14ac:dyDescent="0.25">
      <c r="A1163" t="str">
        <f>"30.2601"</f>
        <v>30.2601</v>
      </c>
      <c r="B1163" t="s">
        <v>1105</v>
      </c>
      <c r="C1163" t="s">
        <v>7</v>
      </c>
      <c r="D1163" t="s">
        <v>11</v>
      </c>
      <c r="E1163" t="str">
        <f>"30.2601"</f>
        <v>30.2601</v>
      </c>
      <c r="F1163" t="s">
        <v>1105</v>
      </c>
    </row>
    <row r="1164" spans="1:6" x14ac:dyDescent="0.25">
      <c r="A1164" t="str">
        <f>"30.27"</f>
        <v>30.27</v>
      </c>
      <c r="B1164" t="s">
        <v>1106</v>
      </c>
      <c r="C1164" t="s">
        <v>7</v>
      </c>
      <c r="D1164" t="s">
        <v>11</v>
      </c>
      <c r="E1164" t="str">
        <f>"30.27"</f>
        <v>30.27</v>
      </c>
      <c r="F1164" t="s">
        <v>1106</v>
      </c>
    </row>
    <row r="1165" spans="1:6" x14ac:dyDescent="0.25">
      <c r="A1165" t="str">
        <f>"30.2701"</f>
        <v>30.2701</v>
      </c>
      <c r="B1165" t="s">
        <v>1106</v>
      </c>
      <c r="C1165" t="s">
        <v>7</v>
      </c>
      <c r="D1165" t="s">
        <v>11</v>
      </c>
      <c r="E1165" t="str">
        <f>"30.2701"</f>
        <v>30.2701</v>
      </c>
      <c r="F1165" t="s">
        <v>1106</v>
      </c>
    </row>
    <row r="1166" spans="1:6" x14ac:dyDescent="0.25">
      <c r="A1166" t="str">
        <f>"30.28"</f>
        <v>30.28</v>
      </c>
      <c r="B1166" t="s">
        <v>1107</v>
      </c>
      <c r="C1166" t="s">
        <v>7</v>
      </c>
      <c r="D1166" t="s">
        <v>11</v>
      </c>
      <c r="E1166" t="str">
        <f>"30.28"</f>
        <v>30.28</v>
      </c>
      <c r="F1166" t="s">
        <v>1107</v>
      </c>
    </row>
    <row r="1167" spans="1:6" x14ac:dyDescent="0.25">
      <c r="A1167" t="str">
        <f>"30.2801"</f>
        <v>30.2801</v>
      </c>
      <c r="B1167" t="s">
        <v>1107</v>
      </c>
      <c r="C1167" t="s">
        <v>7</v>
      </c>
      <c r="D1167" t="s">
        <v>11</v>
      </c>
      <c r="E1167" t="str">
        <f>"30.2801"</f>
        <v>30.2801</v>
      </c>
      <c r="F1167" t="s">
        <v>1107</v>
      </c>
    </row>
    <row r="1168" spans="1:6" x14ac:dyDescent="0.25">
      <c r="A1168" t="str">
        <f>"30.29"</f>
        <v>30.29</v>
      </c>
      <c r="B1168" t="s">
        <v>1108</v>
      </c>
      <c r="C1168" t="s">
        <v>7</v>
      </c>
      <c r="D1168" t="s">
        <v>11</v>
      </c>
      <c r="E1168" t="str">
        <f>"30.29"</f>
        <v>30.29</v>
      </c>
      <c r="F1168" t="s">
        <v>1108</v>
      </c>
    </row>
    <row r="1169" spans="1:6" x14ac:dyDescent="0.25">
      <c r="A1169" t="str">
        <f>"30.2901"</f>
        <v>30.2901</v>
      </c>
      <c r="B1169" t="s">
        <v>1108</v>
      </c>
      <c r="C1169" t="s">
        <v>7</v>
      </c>
      <c r="D1169" t="s">
        <v>11</v>
      </c>
      <c r="E1169" t="str">
        <f>"30.2901"</f>
        <v>30.2901</v>
      </c>
      <c r="F1169" t="s">
        <v>1108</v>
      </c>
    </row>
    <row r="1170" spans="1:6" x14ac:dyDescent="0.25">
      <c r="A1170" t="str">
        <f>"30.30"</f>
        <v>30.30</v>
      </c>
      <c r="B1170" t="s">
        <v>1109</v>
      </c>
      <c r="C1170" t="s">
        <v>7</v>
      </c>
      <c r="D1170" t="s">
        <v>11</v>
      </c>
      <c r="E1170" t="str">
        <f>"30.30"</f>
        <v>30.30</v>
      </c>
      <c r="F1170" t="s">
        <v>1109</v>
      </c>
    </row>
    <row r="1171" spans="1:6" x14ac:dyDescent="0.25">
      <c r="A1171" t="str">
        <f>"30.3001"</f>
        <v>30.3001</v>
      </c>
      <c r="B1171" t="s">
        <v>1109</v>
      </c>
      <c r="C1171" t="s">
        <v>7</v>
      </c>
      <c r="D1171" t="s">
        <v>11</v>
      </c>
      <c r="E1171" t="str">
        <f>"30.3001"</f>
        <v>30.3001</v>
      </c>
      <c r="F1171" t="s">
        <v>1109</v>
      </c>
    </row>
    <row r="1172" spans="1:6" x14ac:dyDescent="0.25">
      <c r="A1172" t="str">
        <f>"30.31"</f>
        <v>30.31</v>
      </c>
      <c r="B1172" t="s">
        <v>1110</v>
      </c>
      <c r="C1172" t="s">
        <v>7</v>
      </c>
      <c r="D1172" t="s">
        <v>11</v>
      </c>
      <c r="E1172" t="str">
        <f>"30.31"</f>
        <v>30.31</v>
      </c>
      <c r="F1172" t="s">
        <v>1110</v>
      </c>
    </row>
    <row r="1173" spans="1:6" x14ac:dyDescent="0.25">
      <c r="A1173" t="str">
        <f>"30.3101"</f>
        <v>30.3101</v>
      </c>
      <c r="B1173" t="s">
        <v>1110</v>
      </c>
      <c r="C1173" t="s">
        <v>7</v>
      </c>
      <c r="D1173" t="s">
        <v>8</v>
      </c>
      <c r="E1173" t="str">
        <f>"30.3101"</f>
        <v>30.3101</v>
      </c>
      <c r="F1173" t="s">
        <v>1110</v>
      </c>
    </row>
    <row r="1174" spans="1:6" x14ac:dyDescent="0.25">
      <c r="A1174" t="str">
        <f>"30.32"</f>
        <v>30.32</v>
      </c>
      <c r="B1174" t="s">
        <v>1111</v>
      </c>
      <c r="C1174" t="s">
        <v>7</v>
      </c>
      <c r="D1174" t="s">
        <v>11</v>
      </c>
      <c r="E1174" t="str">
        <f>"30.32"</f>
        <v>30.32</v>
      </c>
      <c r="F1174" t="s">
        <v>1111</v>
      </c>
    </row>
    <row r="1175" spans="1:6" x14ac:dyDescent="0.25">
      <c r="A1175" t="str">
        <f>"30.3201"</f>
        <v>30.3201</v>
      </c>
      <c r="B1175" t="s">
        <v>1111</v>
      </c>
      <c r="C1175" t="s">
        <v>7</v>
      </c>
      <c r="D1175" t="s">
        <v>11</v>
      </c>
      <c r="E1175" t="str">
        <f>"30.3201"</f>
        <v>30.3201</v>
      </c>
      <c r="F1175" t="s">
        <v>1111</v>
      </c>
    </row>
    <row r="1176" spans="1:6" x14ac:dyDescent="0.25">
      <c r="A1176" t="str">
        <f>"30.33"</f>
        <v>30.33</v>
      </c>
      <c r="B1176" t="s">
        <v>1112</v>
      </c>
      <c r="C1176" t="s">
        <v>7</v>
      </c>
      <c r="D1176" t="s">
        <v>11</v>
      </c>
      <c r="E1176" t="str">
        <f>"30.33"</f>
        <v>30.33</v>
      </c>
      <c r="F1176" t="s">
        <v>1112</v>
      </c>
    </row>
    <row r="1177" spans="1:6" x14ac:dyDescent="0.25">
      <c r="A1177" t="str">
        <f>"30.3301"</f>
        <v>30.3301</v>
      </c>
      <c r="B1177" t="s">
        <v>1112</v>
      </c>
      <c r="C1177" t="s">
        <v>7</v>
      </c>
      <c r="D1177" t="s">
        <v>11</v>
      </c>
      <c r="E1177" t="str">
        <f>"30.3301"</f>
        <v>30.3301</v>
      </c>
      <c r="F1177" t="s">
        <v>1112</v>
      </c>
    </row>
    <row r="1178" spans="1:6" x14ac:dyDescent="0.25">
      <c r="C1178" t="s">
        <v>26</v>
      </c>
      <c r="D1178" t="s">
        <v>11</v>
      </c>
      <c r="E1178" t="str">
        <f>"30.34"</f>
        <v>30.34</v>
      </c>
      <c r="F1178" t="s">
        <v>1113</v>
      </c>
    </row>
    <row r="1179" spans="1:6" x14ac:dyDescent="0.25">
      <c r="C1179" t="s">
        <v>26</v>
      </c>
      <c r="D1179" t="s">
        <v>11</v>
      </c>
      <c r="E1179" t="str">
        <f>"30.3401"</f>
        <v>30.3401</v>
      </c>
      <c r="F1179" t="s">
        <v>1113</v>
      </c>
    </row>
    <row r="1180" spans="1:6" x14ac:dyDescent="0.25">
      <c r="C1180" t="s">
        <v>26</v>
      </c>
      <c r="D1180" t="s">
        <v>11</v>
      </c>
      <c r="E1180" t="str">
        <f>"30.35"</f>
        <v>30.35</v>
      </c>
      <c r="F1180" t="s">
        <v>1114</v>
      </c>
    </row>
    <row r="1181" spans="1:6" x14ac:dyDescent="0.25">
      <c r="C1181" t="s">
        <v>26</v>
      </c>
      <c r="D1181" t="s">
        <v>11</v>
      </c>
      <c r="E1181" t="str">
        <f>"30.3501"</f>
        <v>30.3501</v>
      </c>
      <c r="F1181" t="s">
        <v>1114</v>
      </c>
    </row>
    <row r="1182" spans="1:6" x14ac:dyDescent="0.25">
      <c r="C1182" t="s">
        <v>26</v>
      </c>
      <c r="D1182" t="s">
        <v>11</v>
      </c>
      <c r="E1182" t="str">
        <f>"30.36"</f>
        <v>30.36</v>
      </c>
      <c r="F1182" t="s">
        <v>1115</v>
      </c>
    </row>
    <row r="1183" spans="1:6" x14ac:dyDescent="0.25">
      <c r="C1183" t="s">
        <v>26</v>
      </c>
      <c r="D1183" t="s">
        <v>11</v>
      </c>
      <c r="E1183" t="str">
        <f>"30.3601"</f>
        <v>30.3601</v>
      </c>
      <c r="F1183" t="s">
        <v>1115</v>
      </c>
    </row>
    <row r="1184" spans="1:6" x14ac:dyDescent="0.25">
      <c r="C1184" t="s">
        <v>26</v>
      </c>
      <c r="D1184" t="s">
        <v>11</v>
      </c>
      <c r="E1184" t="str">
        <f>"30.37"</f>
        <v>30.37</v>
      </c>
      <c r="F1184" t="s">
        <v>1116</v>
      </c>
    </row>
    <row r="1185" spans="3:6" x14ac:dyDescent="0.25">
      <c r="C1185" t="s">
        <v>26</v>
      </c>
      <c r="D1185" t="s">
        <v>11</v>
      </c>
      <c r="E1185" t="str">
        <f>"30.3701"</f>
        <v>30.3701</v>
      </c>
      <c r="F1185" t="s">
        <v>1116</v>
      </c>
    </row>
    <row r="1186" spans="3:6" x14ac:dyDescent="0.25">
      <c r="C1186" t="s">
        <v>26</v>
      </c>
      <c r="D1186" t="s">
        <v>11</v>
      </c>
      <c r="E1186" t="str">
        <f>"30.38"</f>
        <v>30.38</v>
      </c>
      <c r="F1186" t="s">
        <v>1117</v>
      </c>
    </row>
    <row r="1187" spans="3:6" x14ac:dyDescent="0.25">
      <c r="C1187" t="s">
        <v>26</v>
      </c>
      <c r="D1187" t="s">
        <v>11</v>
      </c>
      <c r="E1187" t="str">
        <f>"30.3801"</f>
        <v>30.3801</v>
      </c>
      <c r="F1187" t="s">
        <v>1117</v>
      </c>
    </row>
    <row r="1188" spans="3:6" x14ac:dyDescent="0.25">
      <c r="C1188" t="s">
        <v>26</v>
      </c>
      <c r="D1188" t="s">
        <v>11</v>
      </c>
      <c r="E1188" t="str">
        <f>"30.39"</f>
        <v>30.39</v>
      </c>
      <c r="F1188" t="s">
        <v>1118</v>
      </c>
    </row>
    <row r="1189" spans="3:6" x14ac:dyDescent="0.25">
      <c r="C1189" t="s">
        <v>26</v>
      </c>
      <c r="D1189" t="s">
        <v>11</v>
      </c>
      <c r="E1189" t="str">
        <f>"30.3901"</f>
        <v>30.3901</v>
      </c>
      <c r="F1189" t="s">
        <v>1118</v>
      </c>
    </row>
    <row r="1190" spans="3:6" x14ac:dyDescent="0.25">
      <c r="C1190" t="s">
        <v>26</v>
      </c>
      <c r="D1190" t="s">
        <v>11</v>
      </c>
      <c r="E1190" t="str">
        <f>"30.40"</f>
        <v>30.40</v>
      </c>
      <c r="F1190" t="s">
        <v>1119</v>
      </c>
    </row>
    <row r="1191" spans="3:6" x14ac:dyDescent="0.25">
      <c r="C1191" t="s">
        <v>26</v>
      </c>
      <c r="D1191" t="s">
        <v>11</v>
      </c>
      <c r="E1191" t="str">
        <f>"30.4001"</f>
        <v>30.4001</v>
      </c>
      <c r="F1191" t="s">
        <v>1119</v>
      </c>
    </row>
    <row r="1192" spans="3:6" x14ac:dyDescent="0.25">
      <c r="C1192" t="s">
        <v>26</v>
      </c>
      <c r="D1192" t="s">
        <v>11</v>
      </c>
      <c r="E1192" t="str">
        <f>"30.41"</f>
        <v>30.41</v>
      </c>
      <c r="F1192" t="s">
        <v>1120</v>
      </c>
    </row>
    <row r="1193" spans="3:6" x14ac:dyDescent="0.25">
      <c r="C1193" t="s">
        <v>26</v>
      </c>
      <c r="D1193" t="s">
        <v>11</v>
      </c>
      <c r="E1193" t="str">
        <f>"30.4101"</f>
        <v>30.4101</v>
      </c>
      <c r="F1193" t="s">
        <v>1120</v>
      </c>
    </row>
    <row r="1194" spans="3:6" x14ac:dyDescent="0.25">
      <c r="C1194" t="s">
        <v>26</v>
      </c>
      <c r="D1194" t="s">
        <v>11</v>
      </c>
      <c r="E1194" t="str">
        <f>"30.42"</f>
        <v>30.42</v>
      </c>
      <c r="F1194" t="s">
        <v>1121</v>
      </c>
    </row>
    <row r="1195" spans="3:6" x14ac:dyDescent="0.25">
      <c r="C1195" t="s">
        <v>26</v>
      </c>
      <c r="D1195" t="s">
        <v>11</v>
      </c>
      <c r="E1195" t="str">
        <f>"30.4201"</f>
        <v>30.4201</v>
      </c>
      <c r="F1195" t="s">
        <v>1121</v>
      </c>
    </row>
    <row r="1196" spans="3:6" x14ac:dyDescent="0.25">
      <c r="C1196" t="s">
        <v>26</v>
      </c>
      <c r="D1196" t="s">
        <v>11</v>
      </c>
      <c r="E1196" t="str">
        <f>"30.43"</f>
        <v>30.43</v>
      </c>
      <c r="F1196" t="s">
        <v>1122</v>
      </c>
    </row>
    <row r="1197" spans="3:6" x14ac:dyDescent="0.25">
      <c r="C1197" t="s">
        <v>26</v>
      </c>
      <c r="D1197" t="s">
        <v>11</v>
      </c>
      <c r="E1197" t="str">
        <f>"30.4301"</f>
        <v>30.4301</v>
      </c>
      <c r="F1197" t="s">
        <v>1122</v>
      </c>
    </row>
    <row r="1198" spans="3:6" x14ac:dyDescent="0.25">
      <c r="C1198" t="s">
        <v>26</v>
      </c>
      <c r="D1198" t="s">
        <v>11</v>
      </c>
      <c r="E1198" t="str">
        <f>"30.44"</f>
        <v>30.44</v>
      </c>
      <c r="F1198" t="s">
        <v>1123</v>
      </c>
    </row>
    <row r="1199" spans="3:6" x14ac:dyDescent="0.25">
      <c r="C1199" t="s">
        <v>26</v>
      </c>
      <c r="D1199" t="s">
        <v>11</v>
      </c>
      <c r="E1199" t="str">
        <f>"30.4401"</f>
        <v>30.4401</v>
      </c>
      <c r="F1199" t="s">
        <v>1123</v>
      </c>
    </row>
    <row r="1200" spans="3:6" x14ac:dyDescent="0.25">
      <c r="C1200" t="s">
        <v>26</v>
      </c>
      <c r="D1200" t="s">
        <v>11</v>
      </c>
      <c r="E1200" t="str">
        <f>"30.45"</f>
        <v>30.45</v>
      </c>
      <c r="F1200" t="s">
        <v>1124</v>
      </c>
    </row>
    <row r="1201" spans="3:6" x14ac:dyDescent="0.25">
      <c r="C1201" t="s">
        <v>26</v>
      </c>
      <c r="D1201" t="s">
        <v>11</v>
      </c>
      <c r="E1201" t="str">
        <f>"30.4501"</f>
        <v>30.4501</v>
      </c>
      <c r="F1201" t="s">
        <v>1124</v>
      </c>
    </row>
    <row r="1202" spans="3:6" x14ac:dyDescent="0.25">
      <c r="C1202" t="s">
        <v>26</v>
      </c>
      <c r="D1202" t="s">
        <v>11</v>
      </c>
      <c r="E1202" t="str">
        <f>"30.46"</f>
        <v>30.46</v>
      </c>
      <c r="F1202" t="s">
        <v>1125</v>
      </c>
    </row>
    <row r="1203" spans="3:6" x14ac:dyDescent="0.25">
      <c r="C1203" t="s">
        <v>26</v>
      </c>
      <c r="D1203" t="s">
        <v>11</v>
      </c>
      <c r="E1203" t="str">
        <f>"30.4601"</f>
        <v>30.4601</v>
      </c>
      <c r="F1203" t="s">
        <v>1125</v>
      </c>
    </row>
    <row r="1204" spans="3:6" x14ac:dyDescent="0.25">
      <c r="C1204" t="s">
        <v>26</v>
      </c>
      <c r="D1204" t="s">
        <v>11</v>
      </c>
      <c r="E1204" t="str">
        <f>"30.47"</f>
        <v>30.47</v>
      </c>
      <c r="F1204" t="s">
        <v>1126</v>
      </c>
    </row>
    <row r="1205" spans="3:6" x14ac:dyDescent="0.25">
      <c r="C1205" t="s">
        <v>26</v>
      </c>
      <c r="D1205" t="s">
        <v>11</v>
      </c>
      <c r="E1205" t="str">
        <f>"30.4701"</f>
        <v>30.4701</v>
      </c>
      <c r="F1205" t="s">
        <v>1126</v>
      </c>
    </row>
    <row r="1206" spans="3:6" x14ac:dyDescent="0.25">
      <c r="C1206" t="s">
        <v>26</v>
      </c>
      <c r="D1206" t="s">
        <v>11</v>
      </c>
      <c r="E1206" t="str">
        <f>"30.48"</f>
        <v>30.48</v>
      </c>
      <c r="F1206" t="s">
        <v>1127</v>
      </c>
    </row>
    <row r="1207" spans="3:6" x14ac:dyDescent="0.25">
      <c r="C1207" t="s">
        <v>26</v>
      </c>
      <c r="D1207" t="s">
        <v>11</v>
      </c>
      <c r="E1207" t="str">
        <f>"30.4801"</f>
        <v>30.4801</v>
      </c>
      <c r="F1207" t="s">
        <v>1127</v>
      </c>
    </row>
    <row r="1208" spans="3:6" x14ac:dyDescent="0.25">
      <c r="C1208" t="s">
        <v>26</v>
      </c>
      <c r="D1208" t="s">
        <v>11</v>
      </c>
      <c r="E1208" t="str">
        <f>"30.49"</f>
        <v>30.49</v>
      </c>
      <c r="F1208" t="s">
        <v>1128</v>
      </c>
    </row>
    <row r="1209" spans="3:6" x14ac:dyDescent="0.25">
      <c r="C1209" t="s">
        <v>26</v>
      </c>
      <c r="D1209" t="s">
        <v>11</v>
      </c>
      <c r="E1209" t="str">
        <f>"30.4901"</f>
        <v>30.4901</v>
      </c>
      <c r="F1209" t="s">
        <v>1128</v>
      </c>
    </row>
    <row r="1210" spans="3:6" x14ac:dyDescent="0.25">
      <c r="C1210" t="s">
        <v>26</v>
      </c>
      <c r="D1210" t="s">
        <v>11</v>
      </c>
      <c r="E1210" t="str">
        <f>"30.50"</f>
        <v>30.50</v>
      </c>
      <c r="F1210" t="s">
        <v>1129</v>
      </c>
    </row>
    <row r="1211" spans="3:6" x14ac:dyDescent="0.25">
      <c r="C1211" t="s">
        <v>26</v>
      </c>
      <c r="D1211" t="s">
        <v>11</v>
      </c>
      <c r="E1211" t="str">
        <f>"30.5001"</f>
        <v>30.5001</v>
      </c>
      <c r="F1211" t="s">
        <v>1129</v>
      </c>
    </row>
    <row r="1212" spans="3:6" x14ac:dyDescent="0.25">
      <c r="C1212" t="s">
        <v>26</v>
      </c>
      <c r="D1212" t="s">
        <v>11</v>
      </c>
      <c r="E1212" t="str">
        <f>"30.51"</f>
        <v>30.51</v>
      </c>
      <c r="F1212" t="s">
        <v>1130</v>
      </c>
    </row>
    <row r="1213" spans="3:6" x14ac:dyDescent="0.25">
      <c r="C1213" t="s">
        <v>26</v>
      </c>
      <c r="D1213" t="s">
        <v>11</v>
      </c>
      <c r="E1213" t="str">
        <f>"30.5101"</f>
        <v>30.5101</v>
      </c>
      <c r="F1213" t="s">
        <v>1130</v>
      </c>
    </row>
    <row r="1214" spans="3:6" x14ac:dyDescent="0.25">
      <c r="C1214" t="s">
        <v>26</v>
      </c>
      <c r="D1214" t="s">
        <v>11</v>
      </c>
      <c r="E1214" t="str">
        <f>"30.52"</f>
        <v>30.52</v>
      </c>
      <c r="F1214" t="s">
        <v>1131</v>
      </c>
    </row>
    <row r="1215" spans="3:6" x14ac:dyDescent="0.25">
      <c r="C1215" t="s">
        <v>26</v>
      </c>
      <c r="D1215" t="s">
        <v>11</v>
      </c>
      <c r="E1215" t="str">
        <f>"30.5201"</f>
        <v>30.5201</v>
      </c>
      <c r="F1215" t="s">
        <v>1132</v>
      </c>
    </row>
    <row r="1216" spans="3:6" x14ac:dyDescent="0.25">
      <c r="C1216" t="s">
        <v>26</v>
      </c>
      <c r="D1216" t="s">
        <v>11</v>
      </c>
      <c r="E1216" t="str">
        <f>"30.5202"</f>
        <v>30.5202</v>
      </c>
      <c r="F1216" t="s">
        <v>1133</v>
      </c>
    </row>
    <row r="1217" spans="1:6" x14ac:dyDescent="0.25">
      <c r="C1217" t="s">
        <v>26</v>
      </c>
      <c r="D1217" t="s">
        <v>11</v>
      </c>
      <c r="E1217" t="str">
        <f>"30.5203"</f>
        <v>30.5203</v>
      </c>
      <c r="F1217" t="s">
        <v>1134</v>
      </c>
    </row>
    <row r="1218" spans="1:6" x14ac:dyDescent="0.25">
      <c r="C1218" t="s">
        <v>26</v>
      </c>
      <c r="D1218" t="s">
        <v>11</v>
      </c>
      <c r="E1218" t="str">
        <f>"30.5299"</f>
        <v>30.5299</v>
      </c>
      <c r="F1218" t="s">
        <v>1135</v>
      </c>
    </row>
    <row r="1219" spans="1:6" x14ac:dyDescent="0.25">
      <c r="C1219" t="s">
        <v>26</v>
      </c>
      <c r="D1219" t="s">
        <v>11</v>
      </c>
      <c r="E1219" t="str">
        <f>"30.53"</f>
        <v>30.53</v>
      </c>
      <c r="F1219" t="s">
        <v>1136</v>
      </c>
    </row>
    <row r="1220" spans="1:6" x14ac:dyDescent="0.25">
      <c r="C1220" t="s">
        <v>26</v>
      </c>
      <c r="D1220" t="s">
        <v>11</v>
      </c>
      <c r="E1220" t="str">
        <f>"30.5301"</f>
        <v>30.5301</v>
      </c>
      <c r="F1220" t="s">
        <v>1136</v>
      </c>
    </row>
    <row r="1221" spans="1:6" x14ac:dyDescent="0.25">
      <c r="C1221" t="s">
        <v>26</v>
      </c>
      <c r="D1221" t="s">
        <v>11</v>
      </c>
      <c r="E1221" t="str">
        <f>"30.70"</f>
        <v>30.70</v>
      </c>
      <c r="F1221" t="s">
        <v>1137</v>
      </c>
    </row>
    <row r="1222" spans="1:6" x14ac:dyDescent="0.25">
      <c r="C1222" t="s">
        <v>26</v>
      </c>
      <c r="D1222" t="s">
        <v>11</v>
      </c>
      <c r="E1222" t="str">
        <f>"30.7001"</f>
        <v>30.7001</v>
      </c>
      <c r="F1222" t="s">
        <v>1138</v>
      </c>
    </row>
    <row r="1223" spans="1:6" x14ac:dyDescent="0.25">
      <c r="C1223" t="s">
        <v>26</v>
      </c>
      <c r="D1223" t="s">
        <v>11</v>
      </c>
      <c r="E1223" t="str">
        <f>"30.7099"</f>
        <v>30.7099</v>
      </c>
      <c r="F1223" t="s">
        <v>1139</v>
      </c>
    </row>
    <row r="1224" spans="1:6" x14ac:dyDescent="0.25">
      <c r="C1224" t="s">
        <v>26</v>
      </c>
      <c r="D1224" t="s">
        <v>11</v>
      </c>
      <c r="E1224" t="str">
        <f>"30.71"</f>
        <v>30.71</v>
      </c>
      <c r="F1224" t="s">
        <v>1140</v>
      </c>
    </row>
    <row r="1225" spans="1:6" x14ac:dyDescent="0.25">
      <c r="C1225" t="s">
        <v>26</v>
      </c>
      <c r="D1225" t="s">
        <v>11</v>
      </c>
      <c r="E1225" t="str">
        <f>"30.7101"</f>
        <v>30.7101</v>
      </c>
      <c r="F1225" t="s">
        <v>1141</v>
      </c>
    </row>
    <row r="1226" spans="1:6" x14ac:dyDescent="0.25">
      <c r="C1226" t="s">
        <v>26</v>
      </c>
      <c r="D1226" t="s">
        <v>11</v>
      </c>
      <c r="E1226" t="str">
        <f>"30.7102"</f>
        <v>30.7102</v>
      </c>
      <c r="F1226" t="s">
        <v>1142</v>
      </c>
    </row>
    <row r="1227" spans="1:6" x14ac:dyDescent="0.25">
      <c r="C1227" t="s">
        <v>26</v>
      </c>
      <c r="D1227" t="s">
        <v>11</v>
      </c>
      <c r="E1227" t="str">
        <f>"30.7103"</f>
        <v>30.7103</v>
      </c>
      <c r="F1227" t="s">
        <v>1143</v>
      </c>
    </row>
    <row r="1228" spans="1:6" x14ac:dyDescent="0.25">
      <c r="C1228" t="s">
        <v>26</v>
      </c>
      <c r="D1228" t="s">
        <v>11</v>
      </c>
      <c r="E1228" t="str">
        <f>"30.7104"</f>
        <v>30.7104</v>
      </c>
      <c r="F1228" t="s">
        <v>1144</v>
      </c>
    </row>
    <row r="1229" spans="1:6" x14ac:dyDescent="0.25">
      <c r="C1229" t="s">
        <v>26</v>
      </c>
      <c r="D1229" t="s">
        <v>11</v>
      </c>
      <c r="E1229" t="str">
        <f>"30.7199"</f>
        <v>30.7199</v>
      </c>
      <c r="F1229" t="s">
        <v>1145</v>
      </c>
    </row>
    <row r="1230" spans="1:6" x14ac:dyDescent="0.25">
      <c r="A1230" t="str">
        <f>"30.99"</f>
        <v>30.99</v>
      </c>
      <c r="B1230" t="s">
        <v>1146</v>
      </c>
      <c r="C1230" t="s">
        <v>7</v>
      </c>
      <c r="D1230" t="s">
        <v>11</v>
      </c>
      <c r="E1230" t="str">
        <f>"30.99"</f>
        <v>30.99</v>
      </c>
      <c r="F1230" t="s">
        <v>1146</v>
      </c>
    </row>
    <row r="1231" spans="1:6" x14ac:dyDescent="0.25">
      <c r="A1231" t="str">
        <f>"30.9999"</f>
        <v>30.9999</v>
      </c>
      <c r="B1231" t="s">
        <v>1147</v>
      </c>
      <c r="C1231" t="s">
        <v>7</v>
      </c>
      <c r="D1231" t="s">
        <v>11</v>
      </c>
      <c r="E1231" t="str">
        <f>"30.9999"</f>
        <v>30.9999</v>
      </c>
      <c r="F1231" t="s">
        <v>1147</v>
      </c>
    </row>
    <row r="1232" spans="1:6" x14ac:dyDescent="0.25">
      <c r="A1232" t="str">
        <f>"31"</f>
        <v>31</v>
      </c>
      <c r="B1232" t="s">
        <v>1148</v>
      </c>
      <c r="C1232" t="s">
        <v>7</v>
      </c>
      <c r="D1232" t="s">
        <v>8</v>
      </c>
      <c r="E1232" t="str">
        <f>"31"</f>
        <v>31</v>
      </c>
      <c r="F1232" t="s">
        <v>1149</v>
      </c>
    </row>
    <row r="1233" spans="1:6" x14ac:dyDescent="0.25">
      <c r="A1233" t="str">
        <f>"31.01"</f>
        <v>31.01</v>
      </c>
      <c r="B1233" t="s">
        <v>1150</v>
      </c>
      <c r="C1233" t="s">
        <v>7</v>
      </c>
      <c r="D1233" t="s">
        <v>11</v>
      </c>
      <c r="E1233" t="str">
        <f>"31.01"</f>
        <v>31.01</v>
      </c>
      <c r="F1233" t="s">
        <v>1151</v>
      </c>
    </row>
    <row r="1234" spans="1:6" x14ac:dyDescent="0.25">
      <c r="A1234" t="str">
        <f>"31.0101"</f>
        <v>31.0101</v>
      </c>
      <c r="B1234" t="s">
        <v>1150</v>
      </c>
      <c r="C1234" t="s">
        <v>7</v>
      </c>
      <c r="D1234" t="s">
        <v>11</v>
      </c>
      <c r="E1234" t="str">
        <f>"31.0101"</f>
        <v>31.0101</v>
      </c>
      <c r="F1234" t="s">
        <v>1151</v>
      </c>
    </row>
    <row r="1235" spans="1:6" x14ac:dyDescent="0.25">
      <c r="A1235" t="str">
        <f>"31.03"</f>
        <v>31.03</v>
      </c>
      <c r="B1235" t="s">
        <v>1152</v>
      </c>
      <c r="C1235" t="s">
        <v>7</v>
      </c>
      <c r="D1235" t="s">
        <v>11</v>
      </c>
      <c r="E1235" t="str">
        <f>"31.03"</f>
        <v>31.03</v>
      </c>
      <c r="F1235" t="s">
        <v>1153</v>
      </c>
    </row>
    <row r="1236" spans="1:6" x14ac:dyDescent="0.25">
      <c r="A1236" t="str">
        <f>"31.0301"</f>
        <v>31.0301</v>
      </c>
      <c r="B1236" t="s">
        <v>1154</v>
      </c>
      <c r="C1236" t="s">
        <v>7</v>
      </c>
      <c r="D1236" t="s">
        <v>11</v>
      </c>
      <c r="E1236" t="str">
        <f>"31.0301"</f>
        <v>31.0301</v>
      </c>
      <c r="F1236" t="s">
        <v>1155</v>
      </c>
    </row>
    <row r="1237" spans="1:6" x14ac:dyDescent="0.25">
      <c r="A1237" t="str">
        <f>"31.0302"</f>
        <v>31.0302</v>
      </c>
      <c r="B1237" t="s">
        <v>1156</v>
      </c>
      <c r="C1237" t="s">
        <v>7</v>
      </c>
      <c r="D1237" t="s">
        <v>11</v>
      </c>
      <c r="E1237" t="str">
        <f>"31.0302"</f>
        <v>31.0302</v>
      </c>
      <c r="F1237" t="s">
        <v>1156</v>
      </c>
    </row>
    <row r="1238" spans="1:6" x14ac:dyDescent="0.25">
      <c r="A1238" t="str">
        <f>"31.0399"</f>
        <v>31.0399</v>
      </c>
      <c r="B1238" t="s">
        <v>1157</v>
      </c>
      <c r="C1238" t="s">
        <v>7</v>
      </c>
      <c r="D1238" t="s">
        <v>11</v>
      </c>
      <c r="E1238" t="str">
        <f>"31.0399"</f>
        <v>31.0399</v>
      </c>
      <c r="F1238" t="s">
        <v>1158</v>
      </c>
    </row>
    <row r="1239" spans="1:6" x14ac:dyDescent="0.25">
      <c r="A1239" t="str">
        <f>"31.05"</f>
        <v>31.05</v>
      </c>
      <c r="B1239" t="s">
        <v>1159</v>
      </c>
      <c r="C1239" t="s">
        <v>7</v>
      </c>
      <c r="D1239" t="s">
        <v>8</v>
      </c>
      <c r="E1239" t="str">
        <f>"31.05"</f>
        <v>31.05</v>
      </c>
      <c r="F1239" t="s">
        <v>1160</v>
      </c>
    </row>
    <row r="1240" spans="1:6" x14ac:dyDescent="0.25">
      <c r="A1240" t="str">
        <f>"31.0501"</f>
        <v>31.0501</v>
      </c>
      <c r="B1240" t="s">
        <v>1161</v>
      </c>
      <c r="C1240" t="s">
        <v>7</v>
      </c>
      <c r="D1240" t="s">
        <v>8</v>
      </c>
      <c r="E1240" t="str">
        <f>"31.0501"</f>
        <v>31.0501</v>
      </c>
      <c r="F1240" t="s">
        <v>1162</v>
      </c>
    </row>
    <row r="1241" spans="1:6" x14ac:dyDescent="0.25">
      <c r="A1241" t="str">
        <f>"31.0504"</f>
        <v>31.0504</v>
      </c>
      <c r="B1241" t="s">
        <v>1163</v>
      </c>
      <c r="C1241" t="s">
        <v>7</v>
      </c>
      <c r="D1241" t="s">
        <v>11</v>
      </c>
      <c r="E1241" t="str">
        <f>"31.0504"</f>
        <v>31.0504</v>
      </c>
      <c r="F1241" t="s">
        <v>1163</v>
      </c>
    </row>
    <row r="1242" spans="1:6" x14ac:dyDescent="0.25">
      <c r="A1242" t="str">
        <f>"31.0505"</f>
        <v>31.0505</v>
      </c>
      <c r="B1242" t="s">
        <v>1164</v>
      </c>
      <c r="C1242" t="s">
        <v>7</v>
      </c>
      <c r="D1242" t="s">
        <v>8</v>
      </c>
      <c r="E1242" t="str">
        <f>"31.0505"</f>
        <v>31.0505</v>
      </c>
      <c r="F1242" t="s">
        <v>1165</v>
      </c>
    </row>
    <row r="1243" spans="1:6" x14ac:dyDescent="0.25">
      <c r="A1243" t="str">
        <f>"31.0507"</f>
        <v>31.0507</v>
      </c>
      <c r="B1243" t="s">
        <v>1166</v>
      </c>
      <c r="C1243" t="s">
        <v>7</v>
      </c>
      <c r="D1243" t="s">
        <v>11</v>
      </c>
      <c r="E1243" t="str">
        <f>"31.0507"</f>
        <v>31.0507</v>
      </c>
      <c r="F1243" t="s">
        <v>1166</v>
      </c>
    </row>
    <row r="1244" spans="1:6" x14ac:dyDescent="0.25">
      <c r="A1244" t="str">
        <f>"31.0508"</f>
        <v>31.0508</v>
      </c>
      <c r="B1244" t="s">
        <v>1167</v>
      </c>
      <c r="C1244" t="s">
        <v>7</v>
      </c>
      <c r="D1244" t="s">
        <v>11</v>
      </c>
      <c r="E1244" t="str">
        <f>"31.0508"</f>
        <v>31.0508</v>
      </c>
      <c r="F1244" t="s">
        <v>1167</v>
      </c>
    </row>
    <row r="1245" spans="1:6" x14ac:dyDescent="0.25">
      <c r="A1245" t="str">
        <f>"31.0599"</f>
        <v>31.0599</v>
      </c>
      <c r="B1245" t="s">
        <v>1168</v>
      </c>
      <c r="C1245" t="s">
        <v>7</v>
      </c>
      <c r="D1245" t="s">
        <v>8</v>
      </c>
      <c r="E1245" t="str">
        <f>"31.0599"</f>
        <v>31.0599</v>
      </c>
      <c r="F1245" t="s">
        <v>1169</v>
      </c>
    </row>
    <row r="1246" spans="1:6" x14ac:dyDescent="0.25">
      <c r="A1246" t="str">
        <f>"31.06"</f>
        <v>31.06</v>
      </c>
      <c r="B1246" t="s">
        <v>1170</v>
      </c>
      <c r="C1246" t="s">
        <v>7</v>
      </c>
      <c r="D1246" t="s">
        <v>11</v>
      </c>
      <c r="E1246" t="str">
        <f>"31.06"</f>
        <v>31.06</v>
      </c>
      <c r="F1246" t="s">
        <v>1170</v>
      </c>
    </row>
    <row r="1247" spans="1:6" x14ac:dyDescent="0.25">
      <c r="A1247" t="str">
        <f>"31.0601"</f>
        <v>31.0601</v>
      </c>
      <c r="B1247" t="s">
        <v>1170</v>
      </c>
      <c r="C1247" t="s">
        <v>7</v>
      </c>
      <c r="D1247" t="s">
        <v>11</v>
      </c>
      <c r="E1247" t="str">
        <f>"31.0601"</f>
        <v>31.0601</v>
      </c>
      <c r="F1247" t="s">
        <v>1170</v>
      </c>
    </row>
    <row r="1248" spans="1:6" x14ac:dyDescent="0.25">
      <c r="A1248" t="str">
        <f>"31.99"</f>
        <v>31.99</v>
      </c>
      <c r="B1248" t="s">
        <v>1171</v>
      </c>
      <c r="C1248" t="s">
        <v>7</v>
      </c>
      <c r="D1248" t="s">
        <v>8</v>
      </c>
      <c r="E1248" t="str">
        <f>"31.99"</f>
        <v>31.99</v>
      </c>
      <c r="F1248" t="s">
        <v>1172</v>
      </c>
    </row>
    <row r="1249" spans="1:6" x14ac:dyDescent="0.25">
      <c r="A1249" t="str">
        <f>"31.9999"</f>
        <v>31.9999</v>
      </c>
      <c r="B1249" t="s">
        <v>1171</v>
      </c>
      <c r="C1249" t="s">
        <v>7</v>
      </c>
      <c r="D1249" t="s">
        <v>8</v>
      </c>
      <c r="E1249" t="str">
        <f>"31.9999"</f>
        <v>31.9999</v>
      </c>
      <c r="F1249" t="s">
        <v>1172</v>
      </c>
    </row>
    <row r="1250" spans="1:6" x14ac:dyDescent="0.25">
      <c r="A1250" t="str">
        <f>"32"</f>
        <v>32</v>
      </c>
      <c r="B1250" t="s">
        <v>1173</v>
      </c>
      <c r="C1250" t="s">
        <v>7</v>
      </c>
      <c r="D1250" t="s">
        <v>11</v>
      </c>
      <c r="E1250" t="str">
        <f>"32"</f>
        <v>32</v>
      </c>
      <c r="F1250" t="s">
        <v>1173</v>
      </c>
    </row>
    <row r="1251" spans="1:6" x14ac:dyDescent="0.25">
      <c r="A1251" t="str">
        <f>"32.01"</f>
        <v>32.01</v>
      </c>
      <c r="B1251" t="s">
        <v>1174</v>
      </c>
      <c r="C1251" t="s">
        <v>7</v>
      </c>
      <c r="D1251" t="s">
        <v>11</v>
      </c>
      <c r="E1251" t="str">
        <f>"32.01"</f>
        <v>32.01</v>
      </c>
      <c r="F1251" t="s">
        <v>1174</v>
      </c>
    </row>
    <row r="1252" spans="1:6" x14ac:dyDescent="0.25">
      <c r="A1252" t="str">
        <f>"32.0101"</f>
        <v>32.0101</v>
      </c>
      <c r="B1252" t="s">
        <v>1175</v>
      </c>
      <c r="C1252" t="s">
        <v>7</v>
      </c>
      <c r="D1252" t="s">
        <v>11</v>
      </c>
      <c r="E1252" t="str">
        <f>"32.0101"</f>
        <v>32.0101</v>
      </c>
      <c r="F1252" t="s">
        <v>1175</v>
      </c>
    </row>
    <row r="1253" spans="1:6" x14ac:dyDescent="0.25">
      <c r="A1253" t="str">
        <f>"32.0104"</f>
        <v>32.0104</v>
      </c>
      <c r="B1253" t="s">
        <v>1176</v>
      </c>
      <c r="C1253" t="s">
        <v>7</v>
      </c>
      <c r="D1253" t="s">
        <v>11</v>
      </c>
      <c r="E1253" t="str">
        <f>"32.0104"</f>
        <v>32.0104</v>
      </c>
      <c r="F1253" t="s">
        <v>1176</v>
      </c>
    </row>
    <row r="1254" spans="1:6" x14ac:dyDescent="0.25">
      <c r="A1254" t="str">
        <f>"32.0105"</f>
        <v>32.0105</v>
      </c>
      <c r="B1254" t="s">
        <v>1177</v>
      </c>
      <c r="C1254" t="s">
        <v>7</v>
      </c>
      <c r="D1254" t="s">
        <v>11</v>
      </c>
      <c r="E1254" t="str">
        <f>"32.0105"</f>
        <v>32.0105</v>
      </c>
      <c r="F1254" t="s">
        <v>1177</v>
      </c>
    </row>
    <row r="1255" spans="1:6" x14ac:dyDescent="0.25">
      <c r="A1255" t="str">
        <f>"32.0107"</f>
        <v>32.0107</v>
      </c>
      <c r="B1255" t="s">
        <v>1178</v>
      </c>
      <c r="C1255" t="s">
        <v>7</v>
      </c>
      <c r="D1255" t="s">
        <v>11</v>
      </c>
      <c r="E1255" t="str">
        <f>"32.0107"</f>
        <v>32.0107</v>
      </c>
      <c r="F1255" t="s">
        <v>1178</v>
      </c>
    </row>
    <row r="1256" spans="1:6" x14ac:dyDescent="0.25">
      <c r="A1256" t="str">
        <f>"32.0108"</f>
        <v>32.0108</v>
      </c>
      <c r="B1256" t="s">
        <v>1179</v>
      </c>
      <c r="C1256" t="s">
        <v>7</v>
      </c>
      <c r="D1256" t="s">
        <v>11</v>
      </c>
      <c r="E1256" t="str">
        <f>"32.0108"</f>
        <v>32.0108</v>
      </c>
      <c r="F1256" t="s">
        <v>1179</v>
      </c>
    </row>
    <row r="1257" spans="1:6" x14ac:dyDescent="0.25">
      <c r="A1257" t="str">
        <f>"32.0109"</f>
        <v>32.0109</v>
      </c>
      <c r="B1257" t="s">
        <v>761</v>
      </c>
      <c r="C1257" t="s">
        <v>7</v>
      </c>
      <c r="D1257" t="s">
        <v>11</v>
      </c>
      <c r="E1257" t="str">
        <f>"32.0109"</f>
        <v>32.0109</v>
      </c>
      <c r="F1257" t="s">
        <v>761</v>
      </c>
    </row>
    <row r="1258" spans="1:6" x14ac:dyDescent="0.25">
      <c r="A1258" t="str">
        <f>"32.0110"</f>
        <v>32.0110</v>
      </c>
      <c r="B1258" t="s">
        <v>1180</v>
      </c>
      <c r="C1258" t="s">
        <v>7</v>
      </c>
      <c r="D1258" t="s">
        <v>11</v>
      </c>
      <c r="E1258" t="str">
        <f>"32.0110"</f>
        <v>32.0110</v>
      </c>
      <c r="F1258" t="s">
        <v>1180</v>
      </c>
    </row>
    <row r="1259" spans="1:6" x14ac:dyDescent="0.25">
      <c r="A1259" t="str">
        <f>"32.0111"</f>
        <v>32.0111</v>
      </c>
      <c r="B1259" t="s">
        <v>1181</v>
      </c>
      <c r="C1259" t="s">
        <v>7</v>
      </c>
      <c r="D1259" t="s">
        <v>11</v>
      </c>
      <c r="E1259" t="str">
        <f>"32.0111"</f>
        <v>32.0111</v>
      </c>
      <c r="F1259" t="s">
        <v>1181</v>
      </c>
    </row>
    <row r="1260" spans="1:6" x14ac:dyDescent="0.25">
      <c r="C1260" t="s">
        <v>26</v>
      </c>
      <c r="D1260" t="s">
        <v>11</v>
      </c>
      <c r="E1260" t="str">
        <f>"32.0112"</f>
        <v>32.0112</v>
      </c>
      <c r="F1260" t="s">
        <v>1182</v>
      </c>
    </row>
    <row r="1261" spans="1:6" x14ac:dyDescent="0.25">
      <c r="A1261" t="str">
        <f>"32.0199"</f>
        <v>32.0199</v>
      </c>
      <c r="B1261" t="s">
        <v>1183</v>
      </c>
      <c r="C1261" t="s">
        <v>7</v>
      </c>
      <c r="D1261" t="s">
        <v>11</v>
      </c>
      <c r="E1261" t="str">
        <f>"32.0199"</f>
        <v>32.0199</v>
      </c>
      <c r="F1261" t="s">
        <v>1183</v>
      </c>
    </row>
    <row r="1262" spans="1:6" x14ac:dyDescent="0.25">
      <c r="C1262" t="s">
        <v>26</v>
      </c>
      <c r="D1262" t="s">
        <v>11</v>
      </c>
      <c r="E1262" t="str">
        <f>"32.02"</f>
        <v>32.02</v>
      </c>
      <c r="F1262" t="s">
        <v>1184</v>
      </c>
    </row>
    <row r="1263" spans="1:6" x14ac:dyDescent="0.25">
      <c r="C1263" t="s">
        <v>26</v>
      </c>
      <c r="D1263" t="s">
        <v>11</v>
      </c>
      <c r="E1263" t="str">
        <f>"32.0201"</f>
        <v>32.0201</v>
      </c>
      <c r="F1263" t="s">
        <v>1185</v>
      </c>
    </row>
    <row r="1264" spans="1:6" x14ac:dyDescent="0.25">
      <c r="C1264" t="s">
        <v>26</v>
      </c>
      <c r="D1264" t="s">
        <v>11</v>
      </c>
      <c r="E1264" t="str">
        <f>"32.0202"</f>
        <v>32.0202</v>
      </c>
      <c r="F1264" t="s">
        <v>1186</v>
      </c>
    </row>
    <row r="1265" spans="1:6" x14ac:dyDescent="0.25">
      <c r="C1265" t="s">
        <v>26</v>
      </c>
      <c r="D1265" t="s">
        <v>11</v>
      </c>
      <c r="E1265" t="str">
        <f>"32.0203"</f>
        <v>32.0203</v>
      </c>
      <c r="F1265" t="s">
        <v>1187</v>
      </c>
    </row>
    <row r="1266" spans="1:6" x14ac:dyDescent="0.25">
      <c r="C1266" t="s">
        <v>26</v>
      </c>
      <c r="D1266" t="s">
        <v>11</v>
      </c>
      <c r="E1266" t="str">
        <f>"32.0204"</f>
        <v>32.0204</v>
      </c>
      <c r="F1266" t="s">
        <v>1188</v>
      </c>
    </row>
    <row r="1267" spans="1:6" x14ac:dyDescent="0.25">
      <c r="C1267" t="s">
        <v>26</v>
      </c>
      <c r="D1267" t="s">
        <v>11</v>
      </c>
      <c r="E1267" t="str">
        <f>"32.0205"</f>
        <v>32.0205</v>
      </c>
      <c r="F1267" t="s">
        <v>1189</v>
      </c>
    </row>
    <row r="1268" spans="1:6" x14ac:dyDescent="0.25">
      <c r="C1268" t="s">
        <v>26</v>
      </c>
      <c r="D1268" t="s">
        <v>11</v>
      </c>
      <c r="E1268" t="str">
        <f>"32.0299"</f>
        <v>32.0299</v>
      </c>
      <c r="F1268" t="s">
        <v>1190</v>
      </c>
    </row>
    <row r="1269" spans="1:6" x14ac:dyDescent="0.25">
      <c r="A1269" t="str">
        <f>"33"</f>
        <v>33</v>
      </c>
      <c r="B1269" t="s">
        <v>1191</v>
      </c>
      <c r="C1269" t="s">
        <v>7</v>
      </c>
      <c r="D1269" t="s">
        <v>11</v>
      </c>
      <c r="E1269" t="str">
        <f>"33"</f>
        <v>33</v>
      </c>
      <c r="F1269" t="s">
        <v>1191</v>
      </c>
    </row>
    <row r="1270" spans="1:6" x14ac:dyDescent="0.25">
      <c r="A1270" t="str">
        <f>"33.01"</f>
        <v>33.01</v>
      </c>
      <c r="B1270" t="s">
        <v>1192</v>
      </c>
      <c r="C1270" t="s">
        <v>7</v>
      </c>
      <c r="D1270" t="s">
        <v>11</v>
      </c>
      <c r="E1270" t="str">
        <f>"33.01"</f>
        <v>33.01</v>
      </c>
      <c r="F1270" t="s">
        <v>1192</v>
      </c>
    </row>
    <row r="1271" spans="1:6" x14ac:dyDescent="0.25">
      <c r="A1271" t="str">
        <f>"33.0101"</f>
        <v>33.0101</v>
      </c>
      <c r="B1271" t="s">
        <v>1193</v>
      </c>
      <c r="C1271" t="s">
        <v>7</v>
      </c>
      <c r="D1271" t="s">
        <v>11</v>
      </c>
      <c r="E1271" t="str">
        <f>"33.0101"</f>
        <v>33.0101</v>
      </c>
      <c r="F1271" t="s">
        <v>1193</v>
      </c>
    </row>
    <row r="1272" spans="1:6" x14ac:dyDescent="0.25">
      <c r="A1272" t="str">
        <f>"33.0102"</f>
        <v>33.0102</v>
      </c>
      <c r="B1272" t="s">
        <v>1194</v>
      </c>
      <c r="C1272" t="s">
        <v>7</v>
      </c>
      <c r="D1272" t="s">
        <v>11</v>
      </c>
      <c r="E1272" t="str">
        <f>"33.0102"</f>
        <v>33.0102</v>
      </c>
      <c r="F1272" t="s">
        <v>1194</v>
      </c>
    </row>
    <row r="1273" spans="1:6" x14ac:dyDescent="0.25">
      <c r="A1273" t="str">
        <f>"33.0103"</f>
        <v>33.0103</v>
      </c>
      <c r="B1273" t="s">
        <v>1195</v>
      </c>
      <c r="C1273" t="s">
        <v>7</v>
      </c>
      <c r="D1273" t="s">
        <v>11</v>
      </c>
      <c r="E1273" t="str">
        <f>"33.0103"</f>
        <v>33.0103</v>
      </c>
      <c r="F1273" t="s">
        <v>1195</v>
      </c>
    </row>
    <row r="1274" spans="1:6" x14ac:dyDescent="0.25">
      <c r="A1274" t="str">
        <f>"33.0104"</f>
        <v>33.0104</v>
      </c>
      <c r="B1274" t="s">
        <v>1196</v>
      </c>
      <c r="C1274" t="s">
        <v>7</v>
      </c>
      <c r="D1274" t="s">
        <v>11</v>
      </c>
      <c r="E1274" t="str">
        <f>"33.0104"</f>
        <v>33.0104</v>
      </c>
      <c r="F1274" t="s">
        <v>1196</v>
      </c>
    </row>
    <row r="1275" spans="1:6" x14ac:dyDescent="0.25">
      <c r="A1275" t="str">
        <f>"33.0105"</f>
        <v>33.0105</v>
      </c>
      <c r="B1275" t="s">
        <v>1197</v>
      </c>
      <c r="C1275" t="s">
        <v>7</v>
      </c>
      <c r="D1275" t="s">
        <v>11</v>
      </c>
      <c r="E1275" t="str">
        <f>"33.0105"</f>
        <v>33.0105</v>
      </c>
      <c r="F1275" t="s">
        <v>1197</v>
      </c>
    </row>
    <row r="1276" spans="1:6" x14ac:dyDescent="0.25">
      <c r="C1276" t="s">
        <v>26</v>
      </c>
      <c r="D1276" t="s">
        <v>11</v>
      </c>
      <c r="E1276" t="str">
        <f>"33.0106"</f>
        <v>33.0106</v>
      </c>
      <c r="F1276" t="s">
        <v>1198</v>
      </c>
    </row>
    <row r="1277" spans="1:6" x14ac:dyDescent="0.25">
      <c r="A1277" t="str">
        <f>"33.0199"</f>
        <v>33.0199</v>
      </c>
      <c r="B1277" t="s">
        <v>1199</v>
      </c>
      <c r="C1277" t="s">
        <v>7</v>
      </c>
      <c r="D1277" t="s">
        <v>11</v>
      </c>
      <c r="E1277" t="str">
        <f>"33.0199"</f>
        <v>33.0199</v>
      </c>
      <c r="F1277" t="s">
        <v>1199</v>
      </c>
    </row>
    <row r="1278" spans="1:6" x14ac:dyDescent="0.25">
      <c r="A1278" t="str">
        <f>"34"</f>
        <v>34</v>
      </c>
      <c r="B1278" t="s">
        <v>1200</v>
      </c>
      <c r="C1278" t="s">
        <v>7</v>
      </c>
      <c r="D1278" t="s">
        <v>8</v>
      </c>
      <c r="E1278" t="str">
        <f>"34"</f>
        <v>34</v>
      </c>
      <c r="F1278" t="s">
        <v>1200</v>
      </c>
    </row>
    <row r="1279" spans="1:6" x14ac:dyDescent="0.25">
      <c r="A1279" t="str">
        <f>"34.01"</f>
        <v>34.01</v>
      </c>
      <c r="B1279" t="s">
        <v>1201</v>
      </c>
      <c r="C1279" t="s">
        <v>7</v>
      </c>
      <c r="D1279" t="s">
        <v>11</v>
      </c>
      <c r="E1279" t="str">
        <f>"34.01"</f>
        <v>34.01</v>
      </c>
      <c r="F1279" t="s">
        <v>1201</v>
      </c>
    </row>
    <row r="1280" spans="1:6" x14ac:dyDescent="0.25">
      <c r="A1280" t="str">
        <f>"34.0102"</f>
        <v>34.0102</v>
      </c>
      <c r="B1280" t="s">
        <v>1202</v>
      </c>
      <c r="C1280" t="s">
        <v>7</v>
      </c>
      <c r="D1280" t="s">
        <v>11</v>
      </c>
      <c r="E1280" t="str">
        <f>"34.0102"</f>
        <v>34.0102</v>
      </c>
      <c r="F1280" t="s">
        <v>1202</v>
      </c>
    </row>
    <row r="1281" spans="1:6" x14ac:dyDescent="0.25">
      <c r="A1281" t="str">
        <f>"34.0103"</f>
        <v>34.0103</v>
      </c>
      <c r="B1281" t="s">
        <v>1203</v>
      </c>
      <c r="C1281" t="s">
        <v>7</v>
      </c>
      <c r="D1281" t="s">
        <v>11</v>
      </c>
      <c r="E1281" t="str">
        <f>"34.0103"</f>
        <v>34.0103</v>
      </c>
      <c r="F1281" t="s">
        <v>1203</v>
      </c>
    </row>
    <row r="1282" spans="1:6" x14ac:dyDescent="0.25">
      <c r="A1282" t="str">
        <f>"34.0104"</f>
        <v>34.0104</v>
      </c>
      <c r="B1282" t="s">
        <v>1204</v>
      </c>
      <c r="C1282" t="s">
        <v>7</v>
      </c>
      <c r="D1282" t="s">
        <v>11</v>
      </c>
      <c r="E1282" t="str">
        <f>"34.0104"</f>
        <v>34.0104</v>
      </c>
      <c r="F1282" t="s">
        <v>1204</v>
      </c>
    </row>
    <row r="1283" spans="1:6" x14ac:dyDescent="0.25">
      <c r="C1283" t="s">
        <v>26</v>
      </c>
      <c r="D1283" t="s">
        <v>11</v>
      </c>
      <c r="E1283" t="str">
        <f>"34.0105"</f>
        <v>34.0105</v>
      </c>
      <c r="F1283" t="s">
        <v>1205</v>
      </c>
    </row>
    <row r="1284" spans="1:6" x14ac:dyDescent="0.25">
      <c r="A1284" t="str">
        <f>"34.0199"</f>
        <v>34.0199</v>
      </c>
      <c r="B1284" t="s">
        <v>1206</v>
      </c>
      <c r="C1284" t="s">
        <v>7</v>
      </c>
      <c r="D1284" t="s">
        <v>11</v>
      </c>
      <c r="E1284" t="str">
        <f>"34.0199"</f>
        <v>34.0199</v>
      </c>
      <c r="F1284" t="s">
        <v>1206</v>
      </c>
    </row>
    <row r="1285" spans="1:6" x14ac:dyDescent="0.25">
      <c r="A1285" t="str">
        <f>"35"</f>
        <v>35</v>
      </c>
      <c r="B1285" t="s">
        <v>1207</v>
      </c>
      <c r="C1285" t="s">
        <v>7</v>
      </c>
      <c r="D1285" t="s">
        <v>11</v>
      </c>
      <c r="E1285" t="str">
        <f>"35"</f>
        <v>35</v>
      </c>
      <c r="F1285" t="s">
        <v>1207</v>
      </c>
    </row>
    <row r="1286" spans="1:6" x14ac:dyDescent="0.25">
      <c r="A1286" t="str">
        <f>"35.01"</f>
        <v>35.01</v>
      </c>
      <c r="B1286" t="s">
        <v>1208</v>
      </c>
      <c r="C1286" t="s">
        <v>7</v>
      </c>
      <c r="D1286" t="s">
        <v>11</v>
      </c>
      <c r="E1286" t="str">
        <f>"35.01"</f>
        <v>35.01</v>
      </c>
      <c r="F1286" t="s">
        <v>1208</v>
      </c>
    </row>
    <row r="1287" spans="1:6" x14ac:dyDescent="0.25">
      <c r="A1287" t="str">
        <f>"35.0101"</f>
        <v>35.0101</v>
      </c>
      <c r="B1287" t="s">
        <v>1209</v>
      </c>
      <c r="C1287" t="s">
        <v>7</v>
      </c>
      <c r="D1287" t="s">
        <v>11</v>
      </c>
      <c r="E1287" t="str">
        <f>"35.0101"</f>
        <v>35.0101</v>
      </c>
      <c r="F1287" t="s">
        <v>1209</v>
      </c>
    </row>
    <row r="1288" spans="1:6" x14ac:dyDescent="0.25">
      <c r="A1288" t="str">
        <f>"35.0102"</f>
        <v>35.0102</v>
      </c>
      <c r="B1288" t="s">
        <v>1210</v>
      </c>
      <c r="C1288" t="s">
        <v>7</v>
      </c>
      <c r="D1288" t="s">
        <v>11</v>
      </c>
      <c r="E1288" t="str">
        <f>"35.0102"</f>
        <v>35.0102</v>
      </c>
      <c r="F1288" t="s">
        <v>1210</v>
      </c>
    </row>
    <row r="1289" spans="1:6" x14ac:dyDescent="0.25">
      <c r="A1289" t="str">
        <f>"35.0103"</f>
        <v>35.0103</v>
      </c>
      <c r="B1289" t="s">
        <v>1211</v>
      </c>
      <c r="C1289" t="s">
        <v>7</v>
      </c>
      <c r="D1289" t="s">
        <v>11</v>
      </c>
      <c r="E1289" t="str">
        <f>"35.0103"</f>
        <v>35.0103</v>
      </c>
      <c r="F1289" t="s">
        <v>1211</v>
      </c>
    </row>
    <row r="1290" spans="1:6" x14ac:dyDescent="0.25">
      <c r="C1290" t="s">
        <v>26</v>
      </c>
      <c r="D1290" t="s">
        <v>11</v>
      </c>
      <c r="E1290" t="str">
        <f>"35.0105"</f>
        <v>35.0105</v>
      </c>
      <c r="F1290" t="s">
        <v>1212</v>
      </c>
    </row>
    <row r="1291" spans="1:6" x14ac:dyDescent="0.25">
      <c r="A1291" t="str">
        <f>"35.0199"</f>
        <v>35.0199</v>
      </c>
      <c r="B1291" t="s">
        <v>1213</v>
      </c>
      <c r="C1291" t="s">
        <v>7</v>
      </c>
      <c r="D1291" t="s">
        <v>11</v>
      </c>
      <c r="E1291" t="str">
        <f>"35.0199"</f>
        <v>35.0199</v>
      </c>
      <c r="F1291" t="s">
        <v>1213</v>
      </c>
    </row>
    <row r="1292" spans="1:6" x14ac:dyDescent="0.25">
      <c r="A1292" t="str">
        <f>"36"</f>
        <v>36</v>
      </c>
      <c r="B1292" t="s">
        <v>1214</v>
      </c>
      <c r="C1292" t="s">
        <v>7</v>
      </c>
      <c r="D1292" t="s">
        <v>11</v>
      </c>
      <c r="E1292" t="str">
        <f>"36"</f>
        <v>36</v>
      </c>
      <c r="F1292" t="s">
        <v>1214</v>
      </c>
    </row>
    <row r="1293" spans="1:6" x14ac:dyDescent="0.25">
      <c r="A1293" t="str">
        <f>"36.01"</f>
        <v>36.01</v>
      </c>
      <c r="B1293" t="s">
        <v>1215</v>
      </c>
      <c r="C1293" t="s">
        <v>7</v>
      </c>
      <c r="D1293" t="s">
        <v>11</v>
      </c>
      <c r="E1293" t="str">
        <f>"36.01"</f>
        <v>36.01</v>
      </c>
      <c r="F1293" t="s">
        <v>1215</v>
      </c>
    </row>
    <row r="1294" spans="1:6" x14ac:dyDescent="0.25">
      <c r="A1294" t="str">
        <f>"36.0101"</f>
        <v>36.0101</v>
      </c>
      <c r="B1294" t="s">
        <v>1216</v>
      </c>
      <c r="C1294" t="s">
        <v>7</v>
      </c>
      <c r="D1294" t="s">
        <v>11</v>
      </c>
      <c r="E1294" t="str">
        <f>"36.0101"</f>
        <v>36.0101</v>
      </c>
      <c r="F1294" t="s">
        <v>1216</v>
      </c>
    </row>
    <row r="1295" spans="1:6" x14ac:dyDescent="0.25">
      <c r="A1295" t="str">
        <f>"36.0102"</f>
        <v>36.0102</v>
      </c>
      <c r="B1295" t="s">
        <v>1217</v>
      </c>
      <c r="C1295" t="s">
        <v>7</v>
      </c>
      <c r="D1295" t="s">
        <v>11</v>
      </c>
      <c r="E1295" t="str">
        <f>"36.0102"</f>
        <v>36.0102</v>
      </c>
      <c r="F1295" t="s">
        <v>1217</v>
      </c>
    </row>
    <row r="1296" spans="1:6" x14ac:dyDescent="0.25">
      <c r="A1296" t="str">
        <f>"36.0103"</f>
        <v>36.0103</v>
      </c>
      <c r="B1296" t="s">
        <v>1218</v>
      </c>
      <c r="C1296" t="s">
        <v>7</v>
      </c>
      <c r="D1296" t="s">
        <v>11</v>
      </c>
      <c r="E1296" t="str">
        <f>"36.0103"</f>
        <v>36.0103</v>
      </c>
      <c r="F1296" t="s">
        <v>1218</v>
      </c>
    </row>
    <row r="1297" spans="1:6" x14ac:dyDescent="0.25">
      <c r="A1297" t="str">
        <f>"36.0105"</f>
        <v>36.0105</v>
      </c>
      <c r="B1297" t="s">
        <v>1219</v>
      </c>
      <c r="C1297" t="s">
        <v>7</v>
      </c>
      <c r="D1297" t="s">
        <v>11</v>
      </c>
      <c r="E1297" t="str">
        <f>"36.0105"</f>
        <v>36.0105</v>
      </c>
      <c r="F1297" t="s">
        <v>1219</v>
      </c>
    </row>
    <row r="1298" spans="1:6" x14ac:dyDescent="0.25">
      <c r="A1298" t="str">
        <f>"36.0106"</f>
        <v>36.0106</v>
      </c>
      <c r="B1298" t="s">
        <v>1220</v>
      </c>
      <c r="C1298" t="s">
        <v>7</v>
      </c>
      <c r="D1298" t="s">
        <v>11</v>
      </c>
      <c r="E1298" t="str">
        <f>"36.0106"</f>
        <v>36.0106</v>
      </c>
      <c r="F1298" t="s">
        <v>1220</v>
      </c>
    </row>
    <row r="1299" spans="1:6" x14ac:dyDescent="0.25">
      <c r="A1299" t="str">
        <f>"36.0107"</f>
        <v>36.0107</v>
      </c>
      <c r="B1299" t="s">
        <v>1221</v>
      </c>
      <c r="C1299" t="s">
        <v>7</v>
      </c>
      <c r="D1299" t="s">
        <v>11</v>
      </c>
      <c r="E1299" t="str">
        <f>"36.0107"</f>
        <v>36.0107</v>
      </c>
      <c r="F1299" t="s">
        <v>1221</v>
      </c>
    </row>
    <row r="1300" spans="1:6" x14ac:dyDescent="0.25">
      <c r="A1300" t="str">
        <f>"36.0108"</f>
        <v>36.0108</v>
      </c>
      <c r="B1300" t="s">
        <v>1222</v>
      </c>
      <c r="C1300" t="s">
        <v>7</v>
      </c>
      <c r="D1300" t="s">
        <v>11</v>
      </c>
      <c r="E1300" t="str">
        <f>"36.0108"</f>
        <v>36.0108</v>
      </c>
      <c r="F1300" t="s">
        <v>1222</v>
      </c>
    </row>
    <row r="1301" spans="1:6" x14ac:dyDescent="0.25">
      <c r="A1301" t="str">
        <f>"36.0109"</f>
        <v>36.0109</v>
      </c>
      <c r="B1301" t="s">
        <v>1223</v>
      </c>
      <c r="C1301" t="s">
        <v>7</v>
      </c>
      <c r="D1301" t="s">
        <v>11</v>
      </c>
      <c r="E1301" t="str">
        <f>"36.0109"</f>
        <v>36.0109</v>
      </c>
      <c r="F1301" t="s">
        <v>1223</v>
      </c>
    </row>
    <row r="1302" spans="1:6" x14ac:dyDescent="0.25">
      <c r="A1302" t="str">
        <f>"36.0110"</f>
        <v>36.0110</v>
      </c>
      <c r="B1302" t="s">
        <v>1224</v>
      </c>
      <c r="C1302" t="s">
        <v>7</v>
      </c>
      <c r="D1302" t="s">
        <v>11</v>
      </c>
      <c r="E1302" t="str">
        <f>"36.0110"</f>
        <v>36.0110</v>
      </c>
      <c r="F1302" t="s">
        <v>1224</v>
      </c>
    </row>
    <row r="1303" spans="1:6" x14ac:dyDescent="0.25">
      <c r="A1303" t="str">
        <f>"36.0111"</f>
        <v>36.0111</v>
      </c>
      <c r="B1303" t="s">
        <v>1225</v>
      </c>
      <c r="C1303" t="s">
        <v>7</v>
      </c>
      <c r="D1303" t="s">
        <v>11</v>
      </c>
      <c r="E1303" t="str">
        <f>"36.0111"</f>
        <v>36.0111</v>
      </c>
      <c r="F1303" t="s">
        <v>1225</v>
      </c>
    </row>
    <row r="1304" spans="1:6" x14ac:dyDescent="0.25">
      <c r="A1304" t="str">
        <f>"36.0112"</f>
        <v>36.0112</v>
      </c>
      <c r="B1304" t="s">
        <v>1226</v>
      </c>
      <c r="C1304" t="s">
        <v>7</v>
      </c>
      <c r="D1304" t="s">
        <v>11</v>
      </c>
      <c r="E1304" t="str">
        <f>"36.0112"</f>
        <v>36.0112</v>
      </c>
      <c r="F1304" t="s">
        <v>1226</v>
      </c>
    </row>
    <row r="1305" spans="1:6" x14ac:dyDescent="0.25">
      <c r="A1305" t="str">
        <f>"36.0113"</f>
        <v>36.0113</v>
      </c>
      <c r="B1305" t="s">
        <v>1227</v>
      </c>
      <c r="C1305" t="s">
        <v>7</v>
      </c>
      <c r="D1305" t="s">
        <v>11</v>
      </c>
      <c r="E1305" t="str">
        <f>"36.0113"</f>
        <v>36.0113</v>
      </c>
      <c r="F1305" t="s">
        <v>1227</v>
      </c>
    </row>
    <row r="1306" spans="1:6" x14ac:dyDescent="0.25">
      <c r="A1306" t="str">
        <f>"36.0114"</f>
        <v>36.0114</v>
      </c>
      <c r="B1306" t="s">
        <v>1228</v>
      </c>
      <c r="C1306" t="s">
        <v>7</v>
      </c>
      <c r="D1306" t="s">
        <v>11</v>
      </c>
      <c r="E1306" t="str">
        <f>"36.0114"</f>
        <v>36.0114</v>
      </c>
      <c r="F1306" t="s">
        <v>1228</v>
      </c>
    </row>
    <row r="1307" spans="1:6" x14ac:dyDescent="0.25">
      <c r="A1307" t="str">
        <f>"36.0115"</f>
        <v>36.0115</v>
      </c>
      <c r="B1307" t="s">
        <v>1229</v>
      </c>
      <c r="C1307" t="s">
        <v>7</v>
      </c>
      <c r="D1307" t="s">
        <v>11</v>
      </c>
      <c r="E1307" t="str">
        <f>"36.0115"</f>
        <v>36.0115</v>
      </c>
      <c r="F1307" t="s">
        <v>1229</v>
      </c>
    </row>
    <row r="1308" spans="1:6" x14ac:dyDescent="0.25">
      <c r="A1308" t="str">
        <f>"36.0116"</f>
        <v>36.0116</v>
      </c>
      <c r="B1308" t="s">
        <v>1230</v>
      </c>
      <c r="C1308" t="s">
        <v>7</v>
      </c>
      <c r="D1308" t="s">
        <v>11</v>
      </c>
      <c r="E1308" t="str">
        <f>"36.0116"</f>
        <v>36.0116</v>
      </c>
      <c r="F1308" t="s">
        <v>1230</v>
      </c>
    </row>
    <row r="1309" spans="1:6" x14ac:dyDescent="0.25">
      <c r="A1309" t="str">
        <f>"36.0117"</f>
        <v>36.0117</v>
      </c>
      <c r="B1309" t="s">
        <v>1231</v>
      </c>
      <c r="C1309" t="s">
        <v>7</v>
      </c>
      <c r="D1309" t="s">
        <v>11</v>
      </c>
      <c r="E1309" t="str">
        <f>"36.0117"</f>
        <v>36.0117</v>
      </c>
      <c r="F1309" t="s">
        <v>1231</v>
      </c>
    </row>
    <row r="1310" spans="1:6" x14ac:dyDescent="0.25">
      <c r="A1310" t="str">
        <f>"36.0118"</f>
        <v>36.0118</v>
      </c>
      <c r="B1310" t="s">
        <v>1232</v>
      </c>
      <c r="C1310" t="s">
        <v>7</v>
      </c>
      <c r="D1310" t="s">
        <v>11</v>
      </c>
      <c r="E1310" t="str">
        <f>"36.0118"</f>
        <v>36.0118</v>
      </c>
      <c r="F1310" t="s">
        <v>1232</v>
      </c>
    </row>
    <row r="1311" spans="1:6" x14ac:dyDescent="0.25">
      <c r="A1311" t="str">
        <f>"36.0119"</f>
        <v>36.0119</v>
      </c>
      <c r="B1311" t="s">
        <v>1233</v>
      </c>
      <c r="C1311" t="s">
        <v>38</v>
      </c>
      <c r="D1311" t="s">
        <v>11</v>
      </c>
      <c r="E1311" t="str">
        <f>"36.0202"</f>
        <v>36.0202</v>
      </c>
      <c r="F1311" t="s">
        <v>1233</v>
      </c>
    </row>
    <row r="1312" spans="1:6" x14ac:dyDescent="0.25">
      <c r="C1312" t="s">
        <v>26</v>
      </c>
      <c r="D1312" t="s">
        <v>11</v>
      </c>
      <c r="E1312" t="str">
        <f>"36.0120"</f>
        <v>36.0120</v>
      </c>
      <c r="F1312" t="s">
        <v>1234</v>
      </c>
    </row>
    <row r="1313" spans="1:6" x14ac:dyDescent="0.25">
      <c r="C1313" t="s">
        <v>26</v>
      </c>
      <c r="D1313" t="s">
        <v>11</v>
      </c>
      <c r="E1313" t="str">
        <f>"36.0121"</f>
        <v>36.0121</v>
      </c>
      <c r="F1313" t="s">
        <v>1235</v>
      </c>
    </row>
    <row r="1314" spans="1:6" x14ac:dyDescent="0.25">
      <c r="C1314" t="s">
        <v>26</v>
      </c>
      <c r="D1314" t="s">
        <v>11</v>
      </c>
      <c r="E1314" t="str">
        <f>"36.0122"</f>
        <v>36.0122</v>
      </c>
      <c r="F1314" t="s">
        <v>1236</v>
      </c>
    </row>
    <row r="1315" spans="1:6" x14ac:dyDescent="0.25">
      <c r="C1315" t="s">
        <v>26</v>
      </c>
      <c r="D1315" t="s">
        <v>11</v>
      </c>
      <c r="E1315" t="str">
        <f>"36.0123"</f>
        <v>36.0123</v>
      </c>
      <c r="F1315" t="s">
        <v>1237</v>
      </c>
    </row>
    <row r="1316" spans="1:6" x14ac:dyDescent="0.25">
      <c r="A1316" t="str">
        <f>"36.0199"</f>
        <v>36.0199</v>
      </c>
      <c r="B1316" t="s">
        <v>1238</v>
      </c>
      <c r="C1316" t="s">
        <v>7</v>
      </c>
      <c r="D1316" t="s">
        <v>11</v>
      </c>
      <c r="E1316" t="str">
        <f>"36.0199"</f>
        <v>36.0199</v>
      </c>
      <c r="F1316" t="s">
        <v>1238</v>
      </c>
    </row>
    <row r="1317" spans="1:6" x14ac:dyDescent="0.25">
      <c r="C1317" t="s">
        <v>26</v>
      </c>
      <c r="D1317" t="s">
        <v>11</v>
      </c>
      <c r="E1317" t="str">
        <f>"36.02"</f>
        <v>36.02</v>
      </c>
      <c r="F1317" t="s">
        <v>1239</v>
      </c>
    </row>
    <row r="1318" spans="1:6" x14ac:dyDescent="0.25">
      <c r="C1318" t="s">
        <v>26</v>
      </c>
      <c r="D1318" t="s">
        <v>11</v>
      </c>
      <c r="E1318" t="str">
        <f>"36.0203"</f>
        <v>36.0203</v>
      </c>
      <c r="F1318" t="s">
        <v>1240</v>
      </c>
    </row>
    <row r="1319" spans="1:6" x14ac:dyDescent="0.25">
      <c r="C1319" t="s">
        <v>26</v>
      </c>
      <c r="D1319" t="s">
        <v>11</v>
      </c>
      <c r="E1319" t="str">
        <f>"36.0204"</f>
        <v>36.0204</v>
      </c>
      <c r="F1319" t="s">
        <v>1241</v>
      </c>
    </row>
    <row r="1320" spans="1:6" x14ac:dyDescent="0.25">
      <c r="C1320" t="s">
        <v>26</v>
      </c>
      <c r="D1320" t="s">
        <v>11</v>
      </c>
      <c r="E1320" t="str">
        <f>"36.0205"</f>
        <v>36.0205</v>
      </c>
      <c r="F1320" t="s">
        <v>1242</v>
      </c>
    </row>
    <row r="1321" spans="1:6" x14ac:dyDescent="0.25">
      <c r="C1321" t="s">
        <v>26</v>
      </c>
      <c r="D1321" t="s">
        <v>11</v>
      </c>
      <c r="E1321" t="str">
        <f>"36.0206"</f>
        <v>36.0206</v>
      </c>
      <c r="F1321" t="s">
        <v>1243</v>
      </c>
    </row>
    <row r="1322" spans="1:6" x14ac:dyDescent="0.25">
      <c r="C1322" t="s">
        <v>26</v>
      </c>
      <c r="D1322" t="s">
        <v>11</v>
      </c>
      <c r="E1322" t="str">
        <f>"36.0207"</f>
        <v>36.0207</v>
      </c>
      <c r="F1322" t="s">
        <v>1244</v>
      </c>
    </row>
    <row r="1323" spans="1:6" x14ac:dyDescent="0.25">
      <c r="C1323" t="s">
        <v>26</v>
      </c>
      <c r="D1323" t="s">
        <v>11</v>
      </c>
      <c r="E1323" t="str">
        <f>"36.0299"</f>
        <v>36.0299</v>
      </c>
      <c r="F1323" t="s">
        <v>1245</v>
      </c>
    </row>
    <row r="1324" spans="1:6" x14ac:dyDescent="0.25">
      <c r="A1324" t="str">
        <f>"37"</f>
        <v>37</v>
      </c>
      <c r="B1324" t="s">
        <v>1246</v>
      </c>
      <c r="C1324" t="s">
        <v>7</v>
      </c>
      <c r="D1324" t="s">
        <v>11</v>
      </c>
      <c r="E1324" t="str">
        <f>"37"</f>
        <v>37</v>
      </c>
      <c r="F1324" t="s">
        <v>1246</v>
      </c>
    </row>
    <row r="1325" spans="1:6" x14ac:dyDescent="0.25">
      <c r="A1325" t="str">
        <f>"37.01"</f>
        <v>37.01</v>
      </c>
      <c r="B1325" t="s">
        <v>1247</v>
      </c>
      <c r="C1325" t="s">
        <v>7</v>
      </c>
      <c r="D1325" t="s">
        <v>11</v>
      </c>
      <c r="E1325" t="str">
        <f>"37.01"</f>
        <v>37.01</v>
      </c>
      <c r="F1325" t="s">
        <v>1247</v>
      </c>
    </row>
    <row r="1326" spans="1:6" x14ac:dyDescent="0.25">
      <c r="A1326" t="str">
        <f>"37.0101"</f>
        <v>37.0101</v>
      </c>
      <c r="B1326" t="s">
        <v>1248</v>
      </c>
      <c r="C1326" t="s">
        <v>7</v>
      </c>
      <c r="D1326" t="s">
        <v>11</v>
      </c>
      <c r="E1326" t="str">
        <f>"37.0101"</f>
        <v>37.0101</v>
      </c>
      <c r="F1326" t="s">
        <v>1248</v>
      </c>
    </row>
    <row r="1327" spans="1:6" x14ac:dyDescent="0.25">
      <c r="A1327" t="str">
        <f>"37.0102"</f>
        <v>37.0102</v>
      </c>
      <c r="B1327" t="s">
        <v>1249</v>
      </c>
      <c r="C1327" t="s">
        <v>7</v>
      </c>
      <c r="D1327" t="s">
        <v>11</v>
      </c>
      <c r="E1327" t="str">
        <f>"37.0102"</f>
        <v>37.0102</v>
      </c>
      <c r="F1327" t="s">
        <v>1249</v>
      </c>
    </row>
    <row r="1328" spans="1:6" x14ac:dyDescent="0.25">
      <c r="A1328" t="str">
        <f>"37.0103"</f>
        <v>37.0103</v>
      </c>
      <c r="B1328" t="s">
        <v>1250</v>
      </c>
      <c r="C1328" t="s">
        <v>7</v>
      </c>
      <c r="D1328" t="s">
        <v>11</v>
      </c>
      <c r="E1328" t="str">
        <f>"37.0103"</f>
        <v>37.0103</v>
      </c>
      <c r="F1328" t="s">
        <v>1250</v>
      </c>
    </row>
    <row r="1329" spans="1:6" x14ac:dyDescent="0.25">
      <c r="A1329" t="str">
        <f>"37.0104"</f>
        <v>37.0104</v>
      </c>
      <c r="B1329" t="s">
        <v>1251</v>
      </c>
      <c r="C1329" t="s">
        <v>7</v>
      </c>
      <c r="D1329" t="s">
        <v>11</v>
      </c>
      <c r="E1329" t="str">
        <f>"37.0104"</f>
        <v>37.0104</v>
      </c>
      <c r="F1329" t="s">
        <v>1251</v>
      </c>
    </row>
    <row r="1330" spans="1:6" x14ac:dyDescent="0.25">
      <c r="C1330" t="s">
        <v>26</v>
      </c>
      <c r="D1330" t="s">
        <v>11</v>
      </c>
      <c r="E1330" t="str">
        <f>"37.0106"</f>
        <v>37.0106</v>
      </c>
      <c r="F1330" t="s">
        <v>1252</v>
      </c>
    </row>
    <row r="1331" spans="1:6" x14ac:dyDescent="0.25">
      <c r="C1331" t="s">
        <v>26</v>
      </c>
      <c r="D1331" t="s">
        <v>11</v>
      </c>
      <c r="E1331" t="str">
        <f>"37.0107"</f>
        <v>37.0107</v>
      </c>
      <c r="F1331" t="s">
        <v>1253</v>
      </c>
    </row>
    <row r="1332" spans="1:6" x14ac:dyDescent="0.25">
      <c r="A1332" t="str">
        <f>"37.0199"</f>
        <v>37.0199</v>
      </c>
      <c r="B1332" t="s">
        <v>1254</v>
      </c>
      <c r="C1332" t="s">
        <v>7</v>
      </c>
      <c r="D1332" t="s">
        <v>11</v>
      </c>
      <c r="E1332" t="str">
        <f>"37.0199"</f>
        <v>37.0199</v>
      </c>
      <c r="F1332" t="s">
        <v>1254</v>
      </c>
    </row>
    <row r="1333" spans="1:6" x14ac:dyDescent="0.25">
      <c r="A1333" t="str">
        <f>"38"</f>
        <v>38</v>
      </c>
      <c r="B1333" t="s">
        <v>1255</v>
      </c>
      <c r="C1333" t="s">
        <v>7</v>
      </c>
      <c r="D1333" t="s">
        <v>11</v>
      </c>
      <c r="E1333" t="str">
        <f>"38"</f>
        <v>38</v>
      </c>
      <c r="F1333" t="s">
        <v>1255</v>
      </c>
    </row>
    <row r="1334" spans="1:6" x14ac:dyDescent="0.25">
      <c r="A1334" t="str">
        <f>"38.00"</f>
        <v>38.00</v>
      </c>
      <c r="B1334" t="s">
        <v>1256</v>
      </c>
      <c r="C1334" t="s">
        <v>7</v>
      </c>
      <c r="D1334" t="s">
        <v>11</v>
      </c>
      <c r="E1334" t="str">
        <f>"38.00"</f>
        <v>38.00</v>
      </c>
      <c r="F1334" t="s">
        <v>1256</v>
      </c>
    </row>
    <row r="1335" spans="1:6" x14ac:dyDescent="0.25">
      <c r="A1335" t="str">
        <f>"38.0001"</f>
        <v>38.0001</v>
      </c>
      <c r="B1335" t="s">
        <v>1256</v>
      </c>
      <c r="C1335" t="s">
        <v>7</v>
      </c>
      <c r="D1335" t="s">
        <v>11</v>
      </c>
      <c r="E1335" t="str">
        <f>"38.0001"</f>
        <v>38.0001</v>
      </c>
      <c r="F1335" t="s">
        <v>1256</v>
      </c>
    </row>
    <row r="1336" spans="1:6" x14ac:dyDescent="0.25">
      <c r="A1336" t="str">
        <f>"38.01"</f>
        <v>38.01</v>
      </c>
      <c r="B1336" t="s">
        <v>1257</v>
      </c>
      <c r="C1336" t="s">
        <v>7</v>
      </c>
      <c r="D1336" t="s">
        <v>11</v>
      </c>
      <c r="E1336" t="str">
        <f>"38.01"</f>
        <v>38.01</v>
      </c>
      <c r="F1336" t="s">
        <v>1257</v>
      </c>
    </row>
    <row r="1337" spans="1:6" x14ac:dyDescent="0.25">
      <c r="A1337" t="str">
        <f>"38.0101"</f>
        <v>38.0101</v>
      </c>
      <c r="B1337" t="s">
        <v>1257</v>
      </c>
      <c r="C1337" t="s">
        <v>7</v>
      </c>
      <c r="D1337" t="s">
        <v>11</v>
      </c>
      <c r="E1337" t="str">
        <f>"38.0101"</f>
        <v>38.0101</v>
      </c>
      <c r="F1337" t="s">
        <v>1257</v>
      </c>
    </row>
    <row r="1338" spans="1:6" x14ac:dyDescent="0.25">
      <c r="A1338" t="str">
        <f>"38.0102"</f>
        <v>38.0102</v>
      </c>
      <c r="B1338" t="s">
        <v>1258</v>
      </c>
      <c r="C1338" t="s">
        <v>7</v>
      </c>
      <c r="D1338" t="s">
        <v>11</v>
      </c>
      <c r="E1338" t="str">
        <f>"38.0102"</f>
        <v>38.0102</v>
      </c>
      <c r="F1338" t="s">
        <v>1258</v>
      </c>
    </row>
    <row r="1339" spans="1:6" x14ac:dyDescent="0.25">
      <c r="A1339" t="str">
        <f>"38.0103"</f>
        <v>38.0103</v>
      </c>
      <c r="B1339" t="s">
        <v>1259</v>
      </c>
      <c r="C1339" t="s">
        <v>7</v>
      </c>
      <c r="D1339" t="s">
        <v>11</v>
      </c>
      <c r="E1339" t="str">
        <f>"38.0103"</f>
        <v>38.0103</v>
      </c>
      <c r="F1339" t="s">
        <v>1259</v>
      </c>
    </row>
    <row r="1340" spans="1:6" x14ac:dyDescent="0.25">
      <c r="A1340" t="str">
        <f>"38.0104"</f>
        <v>38.0104</v>
      </c>
      <c r="B1340" t="s">
        <v>1260</v>
      </c>
      <c r="C1340" t="s">
        <v>7</v>
      </c>
      <c r="D1340" t="s">
        <v>11</v>
      </c>
      <c r="E1340" t="str">
        <f>"38.0104"</f>
        <v>38.0104</v>
      </c>
      <c r="F1340" t="s">
        <v>1260</v>
      </c>
    </row>
    <row r="1341" spans="1:6" x14ac:dyDescent="0.25">
      <c r="A1341" t="str">
        <f>"38.0199"</f>
        <v>38.0199</v>
      </c>
      <c r="B1341" t="s">
        <v>1261</v>
      </c>
      <c r="C1341" t="s">
        <v>7</v>
      </c>
      <c r="D1341" t="s">
        <v>11</v>
      </c>
      <c r="E1341" t="str">
        <f>"38.0199"</f>
        <v>38.0199</v>
      </c>
      <c r="F1341" t="s">
        <v>1261</v>
      </c>
    </row>
    <row r="1342" spans="1:6" x14ac:dyDescent="0.25">
      <c r="A1342" t="str">
        <f>"38.02"</f>
        <v>38.02</v>
      </c>
      <c r="B1342" t="s">
        <v>1262</v>
      </c>
      <c r="C1342" t="s">
        <v>7</v>
      </c>
      <c r="D1342" t="s">
        <v>11</v>
      </c>
      <c r="E1342" t="str">
        <f>"38.02"</f>
        <v>38.02</v>
      </c>
      <c r="F1342" t="s">
        <v>1262</v>
      </c>
    </row>
    <row r="1343" spans="1:6" x14ac:dyDescent="0.25">
      <c r="A1343" t="str">
        <f>"38.0201"</f>
        <v>38.0201</v>
      </c>
      <c r="B1343" t="s">
        <v>1262</v>
      </c>
      <c r="C1343" t="s">
        <v>7</v>
      </c>
      <c r="D1343" t="s">
        <v>11</v>
      </c>
      <c r="E1343" t="str">
        <f>"38.0201"</f>
        <v>38.0201</v>
      </c>
      <c r="F1343" t="s">
        <v>1262</v>
      </c>
    </row>
    <row r="1344" spans="1:6" x14ac:dyDescent="0.25">
      <c r="A1344" t="str">
        <f>"38.0202"</f>
        <v>38.0202</v>
      </c>
      <c r="B1344" t="s">
        <v>1263</v>
      </c>
      <c r="C1344" t="s">
        <v>7</v>
      </c>
      <c r="D1344" t="s">
        <v>11</v>
      </c>
      <c r="E1344" t="str">
        <f>"38.0202"</f>
        <v>38.0202</v>
      </c>
      <c r="F1344" t="s">
        <v>1263</v>
      </c>
    </row>
    <row r="1345" spans="1:6" x14ac:dyDescent="0.25">
      <c r="A1345" t="str">
        <f>"38.0203"</f>
        <v>38.0203</v>
      </c>
      <c r="B1345" t="s">
        <v>1264</v>
      </c>
      <c r="C1345" t="s">
        <v>7</v>
      </c>
      <c r="D1345" t="s">
        <v>11</v>
      </c>
      <c r="E1345" t="str">
        <f>"38.0203"</f>
        <v>38.0203</v>
      </c>
      <c r="F1345" t="s">
        <v>1264</v>
      </c>
    </row>
    <row r="1346" spans="1:6" x14ac:dyDescent="0.25">
      <c r="A1346" t="str">
        <f>"38.0204"</f>
        <v>38.0204</v>
      </c>
      <c r="B1346" t="s">
        <v>1265</v>
      </c>
      <c r="C1346" t="s">
        <v>7</v>
      </c>
      <c r="D1346" t="s">
        <v>11</v>
      </c>
      <c r="E1346" t="str">
        <f>"38.0204"</f>
        <v>38.0204</v>
      </c>
      <c r="F1346" t="s">
        <v>1265</v>
      </c>
    </row>
    <row r="1347" spans="1:6" x14ac:dyDescent="0.25">
      <c r="A1347" t="str">
        <f>"38.0205"</f>
        <v>38.0205</v>
      </c>
      <c r="B1347" t="s">
        <v>1266</v>
      </c>
      <c r="C1347" t="s">
        <v>7</v>
      </c>
      <c r="D1347" t="s">
        <v>11</v>
      </c>
      <c r="E1347" t="str">
        <f>"38.0205"</f>
        <v>38.0205</v>
      </c>
      <c r="F1347" t="s">
        <v>1266</v>
      </c>
    </row>
    <row r="1348" spans="1:6" x14ac:dyDescent="0.25">
      <c r="A1348" t="str">
        <f>"38.0206"</f>
        <v>38.0206</v>
      </c>
      <c r="B1348" t="s">
        <v>1267</v>
      </c>
      <c r="C1348" t="s">
        <v>7</v>
      </c>
      <c r="D1348" t="s">
        <v>11</v>
      </c>
      <c r="E1348" t="str">
        <f>"38.0206"</f>
        <v>38.0206</v>
      </c>
      <c r="F1348" t="s">
        <v>1267</v>
      </c>
    </row>
    <row r="1349" spans="1:6" x14ac:dyDescent="0.25">
      <c r="C1349" t="s">
        <v>26</v>
      </c>
      <c r="D1349" t="s">
        <v>11</v>
      </c>
      <c r="E1349" t="str">
        <f>"38.0208"</f>
        <v>38.0208</v>
      </c>
      <c r="F1349" t="s">
        <v>1268</v>
      </c>
    </row>
    <row r="1350" spans="1:6" x14ac:dyDescent="0.25">
      <c r="C1350" t="s">
        <v>26</v>
      </c>
      <c r="D1350" t="s">
        <v>11</v>
      </c>
      <c r="E1350" t="str">
        <f>"38.0209"</f>
        <v>38.0209</v>
      </c>
      <c r="F1350" t="s">
        <v>1269</v>
      </c>
    </row>
    <row r="1351" spans="1:6" x14ac:dyDescent="0.25">
      <c r="A1351" t="str">
        <f>"38.0299"</f>
        <v>38.0299</v>
      </c>
      <c r="B1351" t="s">
        <v>1270</v>
      </c>
      <c r="C1351" t="s">
        <v>7</v>
      </c>
      <c r="D1351" t="s">
        <v>11</v>
      </c>
      <c r="E1351" t="str">
        <f>"38.0299"</f>
        <v>38.0299</v>
      </c>
      <c r="F1351" t="s">
        <v>1270</v>
      </c>
    </row>
    <row r="1352" spans="1:6" x14ac:dyDescent="0.25">
      <c r="A1352" t="str">
        <f>"38.99"</f>
        <v>38.99</v>
      </c>
      <c r="B1352" t="s">
        <v>1271</v>
      </c>
      <c r="C1352" t="s">
        <v>7</v>
      </c>
      <c r="D1352" t="s">
        <v>11</v>
      </c>
      <c r="E1352" t="str">
        <f>"38.99"</f>
        <v>38.99</v>
      </c>
      <c r="F1352" t="s">
        <v>1271</v>
      </c>
    </row>
    <row r="1353" spans="1:6" x14ac:dyDescent="0.25">
      <c r="A1353" t="str">
        <f>"38.9999"</f>
        <v>38.9999</v>
      </c>
      <c r="B1353" t="s">
        <v>1271</v>
      </c>
      <c r="C1353" t="s">
        <v>7</v>
      </c>
      <c r="D1353" t="s">
        <v>11</v>
      </c>
      <c r="E1353" t="str">
        <f>"38.9999"</f>
        <v>38.9999</v>
      </c>
      <c r="F1353" t="s">
        <v>1271</v>
      </c>
    </row>
    <row r="1354" spans="1:6" x14ac:dyDescent="0.25">
      <c r="A1354" t="str">
        <f>"39"</f>
        <v>39</v>
      </c>
      <c r="B1354" t="s">
        <v>1272</v>
      </c>
      <c r="C1354" t="s">
        <v>7</v>
      </c>
      <c r="D1354" t="s">
        <v>11</v>
      </c>
      <c r="E1354" t="str">
        <f>"39"</f>
        <v>39</v>
      </c>
      <c r="F1354" t="s">
        <v>1272</v>
      </c>
    </row>
    <row r="1355" spans="1:6" x14ac:dyDescent="0.25">
      <c r="A1355" t="str">
        <f>"39.02"</f>
        <v>39.02</v>
      </c>
      <c r="B1355" t="s">
        <v>1273</v>
      </c>
      <c r="C1355" t="s">
        <v>7</v>
      </c>
      <c r="D1355" t="s">
        <v>11</v>
      </c>
      <c r="E1355" t="str">
        <f>"39.02"</f>
        <v>39.02</v>
      </c>
      <c r="F1355" t="s">
        <v>1273</v>
      </c>
    </row>
    <row r="1356" spans="1:6" x14ac:dyDescent="0.25">
      <c r="A1356" t="str">
        <f>"39.0201"</f>
        <v>39.0201</v>
      </c>
      <c r="B1356" t="s">
        <v>1273</v>
      </c>
      <c r="C1356" t="s">
        <v>7</v>
      </c>
      <c r="D1356" t="s">
        <v>11</v>
      </c>
      <c r="E1356" t="str">
        <f>"39.0201"</f>
        <v>39.0201</v>
      </c>
      <c r="F1356" t="s">
        <v>1273</v>
      </c>
    </row>
    <row r="1357" spans="1:6" x14ac:dyDescent="0.25">
      <c r="A1357" t="str">
        <f>"39.03"</f>
        <v>39.03</v>
      </c>
      <c r="B1357" t="s">
        <v>1274</v>
      </c>
      <c r="C1357" t="s">
        <v>7</v>
      </c>
      <c r="D1357" t="s">
        <v>11</v>
      </c>
      <c r="E1357" t="str">
        <f>"39.03"</f>
        <v>39.03</v>
      </c>
      <c r="F1357" t="s">
        <v>1274</v>
      </c>
    </row>
    <row r="1358" spans="1:6" x14ac:dyDescent="0.25">
      <c r="A1358" t="str">
        <f>"39.0301"</f>
        <v>39.0301</v>
      </c>
      <c r="B1358" t="s">
        <v>1274</v>
      </c>
      <c r="C1358" t="s">
        <v>7</v>
      </c>
      <c r="D1358" t="s">
        <v>8</v>
      </c>
      <c r="E1358" t="str">
        <f>"39.0301"</f>
        <v>39.0301</v>
      </c>
      <c r="F1358" t="s">
        <v>1275</v>
      </c>
    </row>
    <row r="1359" spans="1:6" x14ac:dyDescent="0.25">
      <c r="C1359" t="s">
        <v>26</v>
      </c>
      <c r="D1359" t="s">
        <v>11</v>
      </c>
      <c r="E1359" t="str">
        <f>"39.0302"</f>
        <v>39.0302</v>
      </c>
      <c r="F1359" t="s">
        <v>1276</v>
      </c>
    </row>
    <row r="1360" spans="1:6" x14ac:dyDescent="0.25">
      <c r="C1360" t="s">
        <v>26</v>
      </c>
      <c r="D1360" t="s">
        <v>11</v>
      </c>
      <c r="E1360" t="str">
        <f>"39.0399"</f>
        <v>39.0399</v>
      </c>
      <c r="F1360" t="s">
        <v>1277</v>
      </c>
    </row>
    <row r="1361" spans="1:6" x14ac:dyDescent="0.25">
      <c r="A1361" t="str">
        <f>"39.04"</f>
        <v>39.04</v>
      </c>
      <c r="B1361" t="s">
        <v>1278</v>
      </c>
      <c r="C1361" t="s">
        <v>7</v>
      </c>
      <c r="D1361" t="s">
        <v>11</v>
      </c>
      <c r="E1361" t="str">
        <f>"39.04"</f>
        <v>39.04</v>
      </c>
      <c r="F1361" t="s">
        <v>1278</v>
      </c>
    </row>
    <row r="1362" spans="1:6" x14ac:dyDescent="0.25">
      <c r="A1362" t="str">
        <f>"39.0401"</f>
        <v>39.0401</v>
      </c>
      <c r="B1362" t="s">
        <v>1278</v>
      </c>
      <c r="C1362" t="s">
        <v>7</v>
      </c>
      <c r="D1362" t="s">
        <v>11</v>
      </c>
      <c r="E1362" t="str">
        <f>"39.0401"</f>
        <v>39.0401</v>
      </c>
      <c r="F1362" t="s">
        <v>1278</v>
      </c>
    </row>
    <row r="1363" spans="1:6" x14ac:dyDescent="0.25">
      <c r="A1363" t="str">
        <f>"39.05"</f>
        <v>39.05</v>
      </c>
      <c r="B1363" t="s">
        <v>1279</v>
      </c>
      <c r="C1363" t="s">
        <v>7</v>
      </c>
      <c r="D1363" t="s">
        <v>8</v>
      </c>
      <c r="E1363" t="str">
        <f>"39.05"</f>
        <v>39.05</v>
      </c>
      <c r="F1363" t="s">
        <v>1280</v>
      </c>
    </row>
    <row r="1364" spans="1:6" x14ac:dyDescent="0.25">
      <c r="A1364" t="str">
        <f>"39.0501"</f>
        <v>39.0501</v>
      </c>
      <c r="B1364" t="s">
        <v>1279</v>
      </c>
      <c r="C1364" t="s">
        <v>7</v>
      </c>
      <c r="D1364" t="s">
        <v>11</v>
      </c>
      <c r="E1364" t="str">
        <f>"39.0501"</f>
        <v>39.0501</v>
      </c>
      <c r="F1364" t="s">
        <v>1279</v>
      </c>
    </row>
    <row r="1365" spans="1:6" x14ac:dyDescent="0.25">
      <c r="C1365" t="s">
        <v>26</v>
      </c>
      <c r="D1365" t="s">
        <v>11</v>
      </c>
      <c r="E1365" t="str">
        <f>"39.0502"</f>
        <v>39.0502</v>
      </c>
      <c r="F1365" t="s">
        <v>1281</v>
      </c>
    </row>
    <row r="1366" spans="1:6" x14ac:dyDescent="0.25">
      <c r="C1366" t="s">
        <v>26</v>
      </c>
      <c r="D1366" t="s">
        <v>11</v>
      </c>
      <c r="E1366" t="str">
        <f>"39.0599"</f>
        <v>39.0599</v>
      </c>
      <c r="F1366" t="s">
        <v>1282</v>
      </c>
    </row>
    <row r="1367" spans="1:6" x14ac:dyDescent="0.25">
      <c r="A1367" t="str">
        <f>"39.06"</f>
        <v>39.06</v>
      </c>
      <c r="B1367" t="s">
        <v>1283</v>
      </c>
      <c r="C1367" t="s">
        <v>7</v>
      </c>
      <c r="D1367" t="s">
        <v>11</v>
      </c>
      <c r="E1367" t="str">
        <f>"39.06"</f>
        <v>39.06</v>
      </c>
      <c r="F1367" t="s">
        <v>1283</v>
      </c>
    </row>
    <row r="1368" spans="1:6" x14ac:dyDescent="0.25">
      <c r="A1368" t="str">
        <f>"39.0601"</f>
        <v>39.0601</v>
      </c>
      <c r="B1368" t="s">
        <v>1284</v>
      </c>
      <c r="C1368" t="s">
        <v>7</v>
      </c>
      <c r="D1368" t="s">
        <v>11</v>
      </c>
      <c r="E1368" t="str">
        <f>"39.0601"</f>
        <v>39.0601</v>
      </c>
      <c r="F1368" t="s">
        <v>1284</v>
      </c>
    </row>
    <row r="1369" spans="1:6" x14ac:dyDescent="0.25">
      <c r="A1369" t="str">
        <f>"39.0602"</f>
        <v>39.0602</v>
      </c>
      <c r="B1369" t="s">
        <v>1285</v>
      </c>
      <c r="C1369" t="s">
        <v>7</v>
      </c>
      <c r="D1369" t="s">
        <v>11</v>
      </c>
      <c r="E1369" t="str">
        <f>"39.0602"</f>
        <v>39.0602</v>
      </c>
      <c r="F1369" t="s">
        <v>1285</v>
      </c>
    </row>
    <row r="1370" spans="1:6" x14ac:dyDescent="0.25">
      <c r="A1370" t="str">
        <f>"39.0604"</f>
        <v>39.0604</v>
      </c>
      <c r="B1370" t="s">
        <v>1286</v>
      </c>
      <c r="C1370" t="s">
        <v>7</v>
      </c>
      <c r="D1370" t="s">
        <v>11</v>
      </c>
      <c r="E1370" t="str">
        <f>"39.0604"</f>
        <v>39.0604</v>
      </c>
      <c r="F1370" t="s">
        <v>1286</v>
      </c>
    </row>
    <row r="1371" spans="1:6" x14ac:dyDescent="0.25">
      <c r="A1371" t="str">
        <f>"39.0605"</f>
        <v>39.0605</v>
      </c>
      <c r="B1371" t="s">
        <v>1287</v>
      </c>
      <c r="C1371" t="s">
        <v>7</v>
      </c>
      <c r="D1371" t="s">
        <v>11</v>
      </c>
      <c r="E1371" t="str">
        <f>"39.0605"</f>
        <v>39.0605</v>
      </c>
      <c r="F1371" t="s">
        <v>1287</v>
      </c>
    </row>
    <row r="1372" spans="1:6" x14ac:dyDescent="0.25">
      <c r="A1372" t="str">
        <f>"39.0606"</f>
        <v>39.0606</v>
      </c>
      <c r="B1372" t="s">
        <v>1288</v>
      </c>
      <c r="C1372" t="s">
        <v>38</v>
      </c>
      <c r="D1372" t="s">
        <v>8</v>
      </c>
      <c r="E1372" t="str">
        <f>"38.0207"</f>
        <v>38.0207</v>
      </c>
      <c r="F1372" t="s">
        <v>1288</v>
      </c>
    </row>
    <row r="1373" spans="1:6" x14ac:dyDescent="0.25">
      <c r="A1373" t="str">
        <f>"39.0699"</f>
        <v>39.0699</v>
      </c>
      <c r="B1373" t="s">
        <v>1289</v>
      </c>
      <c r="C1373" t="s">
        <v>7</v>
      </c>
      <c r="D1373" t="s">
        <v>11</v>
      </c>
      <c r="E1373" t="str">
        <f>"39.0699"</f>
        <v>39.0699</v>
      </c>
      <c r="F1373" t="s">
        <v>1289</v>
      </c>
    </row>
    <row r="1374" spans="1:6" x14ac:dyDescent="0.25">
      <c r="A1374" t="str">
        <f>"39.07"</f>
        <v>39.07</v>
      </c>
      <c r="B1374" t="s">
        <v>1290</v>
      </c>
      <c r="C1374" t="s">
        <v>7</v>
      </c>
      <c r="D1374" t="s">
        <v>11</v>
      </c>
      <c r="E1374" t="str">
        <f>"39.07"</f>
        <v>39.07</v>
      </c>
      <c r="F1374" t="s">
        <v>1290</v>
      </c>
    </row>
    <row r="1375" spans="1:6" x14ac:dyDescent="0.25">
      <c r="A1375" t="str">
        <f>"39.0701"</f>
        <v>39.0701</v>
      </c>
      <c r="B1375" t="s">
        <v>1291</v>
      </c>
      <c r="C1375" t="s">
        <v>7</v>
      </c>
      <c r="D1375" t="s">
        <v>11</v>
      </c>
      <c r="E1375" t="str">
        <f>"39.0701"</f>
        <v>39.0701</v>
      </c>
      <c r="F1375" t="s">
        <v>1291</v>
      </c>
    </row>
    <row r="1376" spans="1:6" x14ac:dyDescent="0.25">
      <c r="A1376" t="str">
        <f>"39.0702"</f>
        <v>39.0702</v>
      </c>
      <c r="B1376" t="s">
        <v>1292</v>
      </c>
      <c r="C1376" t="s">
        <v>7</v>
      </c>
      <c r="D1376" t="s">
        <v>11</v>
      </c>
      <c r="E1376" t="str">
        <f>"39.0702"</f>
        <v>39.0702</v>
      </c>
      <c r="F1376" t="s">
        <v>1292</v>
      </c>
    </row>
    <row r="1377" spans="1:6" x14ac:dyDescent="0.25">
      <c r="A1377" t="str">
        <f>"39.0703"</f>
        <v>39.0703</v>
      </c>
      <c r="B1377" t="s">
        <v>1293</v>
      </c>
      <c r="C1377" t="s">
        <v>7</v>
      </c>
      <c r="D1377" t="s">
        <v>11</v>
      </c>
      <c r="E1377" t="str">
        <f>"39.0703"</f>
        <v>39.0703</v>
      </c>
      <c r="F1377" t="s">
        <v>1293</v>
      </c>
    </row>
    <row r="1378" spans="1:6" x14ac:dyDescent="0.25">
      <c r="A1378" t="str">
        <f>"39.0704"</f>
        <v>39.0704</v>
      </c>
      <c r="B1378" t="s">
        <v>1294</v>
      </c>
      <c r="C1378" t="s">
        <v>7</v>
      </c>
      <c r="D1378" t="s">
        <v>11</v>
      </c>
      <c r="E1378" t="str">
        <f>"39.0704"</f>
        <v>39.0704</v>
      </c>
      <c r="F1378" t="s">
        <v>1294</v>
      </c>
    </row>
    <row r="1379" spans="1:6" x14ac:dyDescent="0.25">
      <c r="A1379" t="str">
        <f>"39.0705"</f>
        <v>39.0705</v>
      </c>
      <c r="B1379" t="s">
        <v>1295</v>
      </c>
      <c r="C1379" t="s">
        <v>7</v>
      </c>
      <c r="D1379" t="s">
        <v>11</v>
      </c>
      <c r="E1379" t="str">
        <f>"39.0705"</f>
        <v>39.0705</v>
      </c>
      <c r="F1379" t="s">
        <v>1295</v>
      </c>
    </row>
    <row r="1380" spans="1:6" x14ac:dyDescent="0.25">
      <c r="C1380" t="s">
        <v>26</v>
      </c>
      <c r="D1380" t="s">
        <v>11</v>
      </c>
      <c r="E1380" t="str">
        <f>"39.0706"</f>
        <v>39.0706</v>
      </c>
      <c r="F1380" t="s">
        <v>1296</v>
      </c>
    </row>
    <row r="1381" spans="1:6" x14ac:dyDescent="0.25">
      <c r="A1381" t="str">
        <f>"39.0799"</f>
        <v>39.0799</v>
      </c>
      <c r="B1381" t="s">
        <v>1297</v>
      </c>
      <c r="C1381" t="s">
        <v>7</v>
      </c>
      <c r="D1381" t="s">
        <v>11</v>
      </c>
      <c r="E1381" t="str">
        <f>"39.0799"</f>
        <v>39.0799</v>
      </c>
      <c r="F1381" t="s">
        <v>1297</v>
      </c>
    </row>
    <row r="1382" spans="1:6" x14ac:dyDescent="0.25">
      <c r="C1382" t="s">
        <v>26</v>
      </c>
      <c r="D1382" t="s">
        <v>11</v>
      </c>
      <c r="E1382" t="str">
        <f>"39.08"</f>
        <v>39.08</v>
      </c>
      <c r="F1382" t="s">
        <v>1298</v>
      </c>
    </row>
    <row r="1383" spans="1:6" x14ac:dyDescent="0.25">
      <c r="C1383" t="s">
        <v>26</v>
      </c>
      <c r="D1383" t="s">
        <v>11</v>
      </c>
      <c r="E1383" t="str">
        <f>"39.0801"</f>
        <v>39.0801</v>
      </c>
      <c r="F1383" t="s">
        <v>1299</v>
      </c>
    </row>
    <row r="1384" spans="1:6" x14ac:dyDescent="0.25">
      <c r="C1384" t="s">
        <v>26</v>
      </c>
      <c r="D1384" t="s">
        <v>11</v>
      </c>
      <c r="E1384" t="str">
        <f>"39.0802"</f>
        <v>39.0802</v>
      </c>
      <c r="F1384" t="s">
        <v>1300</v>
      </c>
    </row>
    <row r="1385" spans="1:6" x14ac:dyDescent="0.25">
      <c r="C1385" t="s">
        <v>26</v>
      </c>
      <c r="D1385" t="s">
        <v>11</v>
      </c>
      <c r="E1385" t="str">
        <f>"39.0899"</f>
        <v>39.0899</v>
      </c>
      <c r="F1385" t="s">
        <v>1301</v>
      </c>
    </row>
    <row r="1386" spans="1:6" x14ac:dyDescent="0.25">
      <c r="A1386" t="str">
        <f>"39.99"</f>
        <v>39.99</v>
      </c>
      <c r="B1386" t="s">
        <v>1302</v>
      </c>
      <c r="C1386" t="s">
        <v>7</v>
      </c>
      <c r="D1386" t="s">
        <v>11</v>
      </c>
      <c r="E1386" t="str">
        <f>"39.99"</f>
        <v>39.99</v>
      </c>
      <c r="F1386" t="s">
        <v>1302</v>
      </c>
    </row>
    <row r="1387" spans="1:6" x14ac:dyDescent="0.25">
      <c r="A1387" t="str">
        <f>"39.9999"</f>
        <v>39.9999</v>
      </c>
      <c r="B1387" t="s">
        <v>1302</v>
      </c>
      <c r="C1387" t="s">
        <v>7</v>
      </c>
      <c r="D1387" t="s">
        <v>11</v>
      </c>
      <c r="E1387" t="str">
        <f>"39.9999"</f>
        <v>39.9999</v>
      </c>
      <c r="F1387" t="s">
        <v>1302</v>
      </c>
    </row>
    <row r="1388" spans="1:6" x14ac:dyDescent="0.25">
      <c r="A1388" t="str">
        <f>"40"</f>
        <v>40</v>
      </c>
      <c r="B1388" t="s">
        <v>1303</v>
      </c>
      <c r="C1388" t="s">
        <v>7</v>
      </c>
      <c r="D1388" t="s">
        <v>11</v>
      </c>
      <c r="E1388" t="str">
        <f>"40"</f>
        <v>40</v>
      </c>
      <c r="F1388" t="s">
        <v>1303</v>
      </c>
    </row>
    <row r="1389" spans="1:6" x14ac:dyDescent="0.25">
      <c r="A1389" t="str">
        <f>"40.01"</f>
        <v>40.01</v>
      </c>
      <c r="B1389" t="s">
        <v>1304</v>
      </c>
      <c r="C1389" t="s">
        <v>7</v>
      </c>
      <c r="D1389" t="s">
        <v>8</v>
      </c>
      <c r="E1389" t="str">
        <f>"40.01"</f>
        <v>40.01</v>
      </c>
      <c r="F1389" t="s">
        <v>1305</v>
      </c>
    </row>
    <row r="1390" spans="1:6" x14ac:dyDescent="0.25">
      <c r="A1390" t="str">
        <f>"40.0101"</f>
        <v>40.0101</v>
      </c>
      <c r="B1390" t="s">
        <v>1304</v>
      </c>
      <c r="C1390" t="s">
        <v>7</v>
      </c>
      <c r="D1390" t="s">
        <v>8</v>
      </c>
      <c r="E1390" t="str">
        <f>"40.0101"</f>
        <v>40.0101</v>
      </c>
      <c r="F1390" t="s">
        <v>1305</v>
      </c>
    </row>
    <row r="1391" spans="1:6" x14ac:dyDescent="0.25">
      <c r="A1391" t="str">
        <f>"40.02"</f>
        <v>40.02</v>
      </c>
      <c r="B1391" t="s">
        <v>1306</v>
      </c>
      <c r="C1391" t="s">
        <v>7</v>
      </c>
      <c r="D1391" t="s">
        <v>11</v>
      </c>
      <c r="E1391" t="str">
        <f>"40.02"</f>
        <v>40.02</v>
      </c>
      <c r="F1391" t="s">
        <v>1306</v>
      </c>
    </row>
    <row r="1392" spans="1:6" x14ac:dyDescent="0.25">
      <c r="A1392" t="str">
        <f>"40.0201"</f>
        <v>40.0201</v>
      </c>
      <c r="B1392" t="s">
        <v>1307</v>
      </c>
      <c r="C1392" t="s">
        <v>7</v>
      </c>
      <c r="D1392" t="s">
        <v>11</v>
      </c>
      <c r="E1392" t="str">
        <f>"40.0201"</f>
        <v>40.0201</v>
      </c>
      <c r="F1392" t="s">
        <v>1307</v>
      </c>
    </row>
    <row r="1393" spans="1:6" x14ac:dyDescent="0.25">
      <c r="A1393" t="str">
        <f>"40.0202"</f>
        <v>40.0202</v>
      </c>
      <c r="B1393" t="s">
        <v>1308</v>
      </c>
      <c r="C1393" t="s">
        <v>7</v>
      </c>
      <c r="D1393" t="s">
        <v>11</v>
      </c>
      <c r="E1393" t="str">
        <f>"40.0202"</f>
        <v>40.0202</v>
      </c>
      <c r="F1393" t="s">
        <v>1308</v>
      </c>
    </row>
    <row r="1394" spans="1:6" x14ac:dyDescent="0.25">
      <c r="A1394" t="str">
        <f>"40.0203"</f>
        <v>40.0203</v>
      </c>
      <c r="B1394" t="s">
        <v>1309</v>
      </c>
      <c r="C1394" t="s">
        <v>7</v>
      </c>
      <c r="D1394" t="s">
        <v>11</v>
      </c>
      <c r="E1394" t="str">
        <f>"40.0203"</f>
        <v>40.0203</v>
      </c>
      <c r="F1394" t="s">
        <v>1309</v>
      </c>
    </row>
    <row r="1395" spans="1:6" x14ac:dyDescent="0.25">
      <c r="A1395" t="str">
        <f>"40.0299"</f>
        <v>40.0299</v>
      </c>
      <c r="B1395" t="s">
        <v>1310</v>
      </c>
      <c r="C1395" t="s">
        <v>7</v>
      </c>
      <c r="D1395" t="s">
        <v>11</v>
      </c>
      <c r="E1395" t="str">
        <f>"40.0299"</f>
        <v>40.0299</v>
      </c>
      <c r="F1395" t="s">
        <v>1310</v>
      </c>
    </row>
    <row r="1396" spans="1:6" x14ac:dyDescent="0.25">
      <c r="A1396" t="str">
        <f>"40.04"</f>
        <v>40.04</v>
      </c>
      <c r="B1396" t="s">
        <v>1311</v>
      </c>
      <c r="C1396" t="s">
        <v>7</v>
      </c>
      <c r="D1396" t="s">
        <v>11</v>
      </c>
      <c r="E1396" t="str">
        <f>"40.04"</f>
        <v>40.04</v>
      </c>
      <c r="F1396" t="s">
        <v>1311</v>
      </c>
    </row>
    <row r="1397" spans="1:6" x14ac:dyDescent="0.25">
      <c r="A1397" t="str">
        <f>"40.0401"</f>
        <v>40.0401</v>
      </c>
      <c r="B1397" t="s">
        <v>1312</v>
      </c>
      <c r="C1397" t="s">
        <v>7</v>
      </c>
      <c r="D1397" t="s">
        <v>11</v>
      </c>
      <c r="E1397" t="str">
        <f>"40.0401"</f>
        <v>40.0401</v>
      </c>
      <c r="F1397" t="s">
        <v>1312</v>
      </c>
    </row>
    <row r="1398" spans="1:6" x14ac:dyDescent="0.25">
      <c r="A1398" t="str">
        <f>"40.0402"</f>
        <v>40.0402</v>
      </c>
      <c r="B1398" t="s">
        <v>1313</v>
      </c>
      <c r="C1398" t="s">
        <v>7</v>
      </c>
      <c r="D1398" t="s">
        <v>11</v>
      </c>
      <c r="E1398" t="str">
        <f>"40.0402"</f>
        <v>40.0402</v>
      </c>
      <c r="F1398" t="s">
        <v>1313</v>
      </c>
    </row>
    <row r="1399" spans="1:6" x14ac:dyDescent="0.25">
      <c r="A1399" t="str">
        <f>"40.0403"</f>
        <v>40.0403</v>
      </c>
      <c r="B1399" t="s">
        <v>1314</v>
      </c>
      <c r="C1399" t="s">
        <v>7</v>
      </c>
      <c r="D1399" t="s">
        <v>11</v>
      </c>
      <c r="E1399" t="str">
        <f>"40.0403"</f>
        <v>40.0403</v>
      </c>
      <c r="F1399" t="s">
        <v>1314</v>
      </c>
    </row>
    <row r="1400" spans="1:6" x14ac:dyDescent="0.25">
      <c r="A1400" t="str">
        <f>"40.0404"</f>
        <v>40.0404</v>
      </c>
      <c r="B1400" t="s">
        <v>1315</v>
      </c>
      <c r="C1400" t="s">
        <v>7</v>
      </c>
      <c r="D1400" t="s">
        <v>11</v>
      </c>
      <c r="E1400" t="str">
        <f>"40.0404"</f>
        <v>40.0404</v>
      </c>
      <c r="F1400" t="s">
        <v>1315</v>
      </c>
    </row>
    <row r="1401" spans="1:6" x14ac:dyDescent="0.25">
      <c r="A1401" t="str">
        <f>"40.0499"</f>
        <v>40.0499</v>
      </c>
      <c r="B1401" t="s">
        <v>1316</v>
      </c>
      <c r="C1401" t="s">
        <v>7</v>
      </c>
      <c r="D1401" t="s">
        <v>11</v>
      </c>
      <c r="E1401" t="str">
        <f>"40.0499"</f>
        <v>40.0499</v>
      </c>
      <c r="F1401" t="s">
        <v>1316</v>
      </c>
    </row>
    <row r="1402" spans="1:6" x14ac:dyDescent="0.25">
      <c r="A1402" t="str">
        <f>"40.05"</f>
        <v>40.05</v>
      </c>
      <c r="B1402" t="s">
        <v>1317</v>
      </c>
      <c r="C1402" t="s">
        <v>7</v>
      </c>
      <c r="D1402" t="s">
        <v>11</v>
      </c>
      <c r="E1402" t="str">
        <f>"40.05"</f>
        <v>40.05</v>
      </c>
      <c r="F1402" t="s">
        <v>1317</v>
      </c>
    </row>
    <row r="1403" spans="1:6" x14ac:dyDescent="0.25">
      <c r="A1403" t="str">
        <f>"40.0501"</f>
        <v>40.0501</v>
      </c>
      <c r="B1403" t="s">
        <v>1318</v>
      </c>
      <c r="C1403" t="s">
        <v>7</v>
      </c>
      <c r="D1403" t="s">
        <v>11</v>
      </c>
      <c r="E1403" t="str">
        <f>"40.0501"</f>
        <v>40.0501</v>
      </c>
      <c r="F1403" t="s">
        <v>1318</v>
      </c>
    </row>
    <row r="1404" spans="1:6" x14ac:dyDescent="0.25">
      <c r="A1404" t="str">
        <f>"40.0502"</f>
        <v>40.0502</v>
      </c>
      <c r="B1404" t="s">
        <v>1319</v>
      </c>
      <c r="C1404" t="s">
        <v>7</v>
      </c>
      <c r="D1404" t="s">
        <v>11</v>
      </c>
      <c r="E1404" t="str">
        <f>"40.0502"</f>
        <v>40.0502</v>
      </c>
      <c r="F1404" t="s">
        <v>1319</v>
      </c>
    </row>
    <row r="1405" spans="1:6" x14ac:dyDescent="0.25">
      <c r="A1405" t="str">
        <f>"40.0503"</f>
        <v>40.0503</v>
      </c>
      <c r="B1405" t="s">
        <v>1320</v>
      </c>
      <c r="C1405" t="s">
        <v>7</v>
      </c>
      <c r="D1405" t="s">
        <v>11</v>
      </c>
      <c r="E1405" t="str">
        <f>"40.0503"</f>
        <v>40.0503</v>
      </c>
      <c r="F1405" t="s">
        <v>1320</v>
      </c>
    </row>
    <row r="1406" spans="1:6" x14ac:dyDescent="0.25">
      <c r="A1406" t="str">
        <f>"40.0504"</f>
        <v>40.0504</v>
      </c>
      <c r="B1406" t="s">
        <v>1321</v>
      </c>
      <c r="C1406" t="s">
        <v>7</v>
      </c>
      <c r="D1406" t="s">
        <v>11</v>
      </c>
      <c r="E1406" t="str">
        <f>"40.0504"</f>
        <v>40.0504</v>
      </c>
      <c r="F1406" t="s">
        <v>1321</v>
      </c>
    </row>
    <row r="1407" spans="1:6" x14ac:dyDescent="0.25">
      <c r="A1407" t="str">
        <f>"40.0506"</f>
        <v>40.0506</v>
      </c>
      <c r="B1407" t="s">
        <v>1322</v>
      </c>
      <c r="C1407" t="s">
        <v>7</v>
      </c>
      <c r="D1407" t="s">
        <v>11</v>
      </c>
      <c r="E1407" t="str">
        <f>"40.0506"</f>
        <v>40.0506</v>
      </c>
      <c r="F1407" t="s">
        <v>1322</v>
      </c>
    </row>
    <row r="1408" spans="1:6" x14ac:dyDescent="0.25">
      <c r="A1408" t="str">
        <f>"40.0507"</f>
        <v>40.0507</v>
      </c>
      <c r="B1408" t="s">
        <v>1323</v>
      </c>
      <c r="C1408" t="s">
        <v>7</v>
      </c>
      <c r="D1408" t="s">
        <v>11</v>
      </c>
      <c r="E1408" t="str">
        <f>"40.0507"</f>
        <v>40.0507</v>
      </c>
      <c r="F1408" t="s">
        <v>1323</v>
      </c>
    </row>
    <row r="1409" spans="1:6" x14ac:dyDescent="0.25">
      <c r="A1409" t="str">
        <f>"40.0508"</f>
        <v>40.0508</v>
      </c>
      <c r="B1409" t="s">
        <v>1324</v>
      </c>
      <c r="C1409" t="s">
        <v>7</v>
      </c>
      <c r="D1409" t="s">
        <v>11</v>
      </c>
      <c r="E1409" t="str">
        <f>"40.0508"</f>
        <v>40.0508</v>
      </c>
      <c r="F1409" t="s">
        <v>1324</v>
      </c>
    </row>
    <row r="1410" spans="1:6" x14ac:dyDescent="0.25">
      <c r="A1410" t="str">
        <f>"40.0509"</f>
        <v>40.0509</v>
      </c>
      <c r="B1410" t="s">
        <v>1325</v>
      </c>
      <c r="C1410" t="s">
        <v>7</v>
      </c>
      <c r="D1410" t="s">
        <v>11</v>
      </c>
      <c r="E1410" t="str">
        <f>"40.0509"</f>
        <v>40.0509</v>
      </c>
      <c r="F1410" t="s">
        <v>1325</v>
      </c>
    </row>
    <row r="1411" spans="1:6" x14ac:dyDescent="0.25">
      <c r="A1411" t="str">
        <f>"40.0510"</f>
        <v>40.0510</v>
      </c>
      <c r="B1411" t="s">
        <v>1326</v>
      </c>
      <c r="C1411" t="s">
        <v>7</v>
      </c>
      <c r="D1411" t="s">
        <v>11</v>
      </c>
      <c r="E1411" t="str">
        <f>"40.0510"</f>
        <v>40.0510</v>
      </c>
      <c r="F1411" t="s">
        <v>1326</v>
      </c>
    </row>
    <row r="1412" spans="1:6" x14ac:dyDescent="0.25">
      <c r="A1412" t="str">
        <f>"40.0511"</f>
        <v>40.0511</v>
      </c>
      <c r="B1412" t="s">
        <v>1327</v>
      </c>
      <c r="C1412" t="s">
        <v>7</v>
      </c>
      <c r="D1412" t="s">
        <v>11</v>
      </c>
      <c r="E1412" t="str">
        <f>"40.0511"</f>
        <v>40.0511</v>
      </c>
      <c r="F1412" t="s">
        <v>1327</v>
      </c>
    </row>
    <row r="1413" spans="1:6" x14ac:dyDescent="0.25">
      <c r="C1413" t="s">
        <v>26</v>
      </c>
      <c r="D1413" t="s">
        <v>11</v>
      </c>
      <c r="E1413" t="str">
        <f>"40.0512"</f>
        <v>40.0512</v>
      </c>
      <c r="F1413" t="s">
        <v>1328</v>
      </c>
    </row>
    <row r="1414" spans="1:6" x14ac:dyDescent="0.25">
      <c r="A1414" t="str">
        <f>"40.0599"</f>
        <v>40.0599</v>
      </c>
      <c r="B1414" t="s">
        <v>1329</v>
      </c>
      <c r="C1414" t="s">
        <v>7</v>
      </c>
      <c r="D1414" t="s">
        <v>11</v>
      </c>
      <c r="E1414" t="str">
        <f>"40.0599"</f>
        <v>40.0599</v>
      </c>
      <c r="F1414" t="s">
        <v>1329</v>
      </c>
    </row>
    <row r="1415" spans="1:6" x14ac:dyDescent="0.25">
      <c r="A1415" t="str">
        <f>"40.06"</f>
        <v>40.06</v>
      </c>
      <c r="B1415" t="s">
        <v>1330</v>
      </c>
      <c r="C1415" t="s">
        <v>7</v>
      </c>
      <c r="D1415" t="s">
        <v>11</v>
      </c>
      <c r="E1415" t="str">
        <f>"40.06"</f>
        <v>40.06</v>
      </c>
      <c r="F1415" t="s">
        <v>1330</v>
      </c>
    </row>
    <row r="1416" spans="1:6" x14ac:dyDescent="0.25">
      <c r="A1416" t="str">
        <f>"40.0601"</f>
        <v>40.0601</v>
      </c>
      <c r="B1416" t="s">
        <v>1331</v>
      </c>
      <c r="C1416" t="s">
        <v>7</v>
      </c>
      <c r="D1416" t="s">
        <v>11</v>
      </c>
      <c r="E1416" t="str">
        <f>"40.0601"</f>
        <v>40.0601</v>
      </c>
      <c r="F1416" t="s">
        <v>1331</v>
      </c>
    </row>
    <row r="1417" spans="1:6" x14ac:dyDescent="0.25">
      <c r="A1417" t="str">
        <f>"40.0602"</f>
        <v>40.0602</v>
      </c>
      <c r="B1417" t="s">
        <v>1332</v>
      </c>
      <c r="C1417" t="s">
        <v>7</v>
      </c>
      <c r="D1417" t="s">
        <v>11</v>
      </c>
      <c r="E1417" t="str">
        <f>"40.0602"</f>
        <v>40.0602</v>
      </c>
      <c r="F1417" t="s">
        <v>1332</v>
      </c>
    </row>
    <row r="1418" spans="1:6" x14ac:dyDescent="0.25">
      <c r="A1418" t="str">
        <f>"40.0603"</f>
        <v>40.0603</v>
      </c>
      <c r="B1418" t="s">
        <v>1333</v>
      </c>
      <c r="C1418" t="s">
        <v>7</v>
      </c>
      <c r="D1418" t="s">
        <v>11</v>
      </c>
      <c r="E1418" t="str">
        <f>"40.0603"</f>
        <v>40.0603</v>
      </c>
      <c r="F1418" t="s">
        <v>1333</v>
      </c>
    </row>
    <row r="1419" spans="1:6" x14ac:dyDescent="0.25">
      <c r="A1419" t="str">
        <f>"40.0604"</f>
        <v>40.0604</v>
      </c>
      <c r="B1419" t="s">
        <v>1334</v>
      </c>
      <c r="C1419" t="s">
        <v>7</v>
      </c>
      <c r="D1419" t="s">
        <v>11</v>
      </c>
      <c r="E1419" t="str">
        <f>"40.0604"</f>
        <v>40.0604</v>
      </c>
      <c r="F1419" t="s">
        <v>1334</v>
      </c>
    </row>
    <row r="1420" spans="1:6" x14ac:dyDescent="0.25">
      <c r="A1420" t="str">
        <f>"40.0605"</f>
        <v>40.0605</v>
      </c>
      <c r="B1420" t="s">
        <v>1335</v>
      </c>
      <c r="C1420" t="s">
        <v>7</v>
      </c>
      <c r="D1420" t="s">
        <v>11</v>
      </c>
      <c r="E1420" t="str">
        <f>"40.0605"</f>
        <v>40.0605</v>
      </c>
      <c r="F1420" t="s">
        <v>1335</v>
      </c>
    </row>
    <row r="1421" spans="1:6" x14ac:dyDescent="0.25">
      <c r="A1421" t="str">
        <f>"40.0606"</f>
        <v>40.0606</v>
      </c>
      <c r="B1421" t="s">
        <v>1336</v>
      </c>
      <c r="C1421" t="s">
        <v>7</v>
      </c>
      <c r="D1421" t="s">
        <v>11</v>
      </c>
      <c r="E1421" t="str">
        <f>"40.0606"</f>
        <v>40.0606</v>
      </c>
      <c r="F1421" t="s">
        <v>1336</v>
      </c>
    </row>
    <row r="1422" spans="1:6" x14ac:dyDescent="0.25">
      <c r="A1422" t="str">
        <f>"40.0607"</f>
        <v>40.0607</v>
      </c>
      <c r="B1422" t="s">
        <v>1337</v>
      </c>
      <c r="C1422" t="s">
        <v>7</v>
      </c>
      <c r="D1422" t="s">
        <v>11</v>
      </c>
      <c r="E1422" t="str">
        <f>"40.0607"</f>
        <v>40.0607</v>
      </c>
      <c r="F1422" t="s">
        <v>1337</v>
      </c>
    </row>
    <row r="1423" spans="1:6" x14ac:dyDescent="0.25">
      <c r="A1423" t="str">
        <f>"40.0699"</f>
        <v>40.0699</v>
      </c>
      <c r="B1423" t="s">
        <v>1338</v>
      </c>
      <c r="C1423" t="s">
        <v>7</v>
      </c>
      <c r="D1423" t="s">
        <v>11</v>
      </c>
      <c r="E1423" t="str">
        <f>"40.0699"</f>
        <v>40.0699</v>
      </c>
      <c r="F1423" t="s">
        <v>1338</v>
      </c>
    </row>
    <row r="1424" spans="1:6" x14ac:dyDescent="0.25">
      <c r="A1424" t="str">
        <f>"40.08"</f>
        <v>40.08</v>
      </c>
      <c r="B1424" t="s">
        <v>1339</v>
      </c>
      <c r="C1424" t="s">
        <v>7</v>
      </c>
      <c r="D1424" t="s">
        <v>11</v>
      </c>
      <c r="E1424" t="str">
        <f>"40.08"</f>
        <v>40.08</v>
      </c>
      <c r="F1424" t="s">
        <v>1339</v>
      </c>
    </row>
    <row r="1425" spans="1:6" x14ac:dyDescent="0.25">
      <c r="A1425" t="str">
        <f>"40.0801"</f>
        <v>40.0801</v>
      </c>
      <c r="B1425" t="s">
        <v>1340</v>
      </c>
      <c r="C1425" t="s">
        <v>7</v>
      </c>
      <c r="D1425" t="s">
        <v>11</v>
      </c>
      <c r="E1425" t="str">
        <f>"40.0801"</f>
        <v>40.0801</v>
      </c>
      <c r="F1425" t="s">
        <v>1340</v>
      </c>
    </row>
    <row r="1426" spans="1:6" x14ac:dyDescent="0.25">
      <c r="A1426" t="str">
        <f>"40.0802"</f>
        <v>40.0802</v>
      </c>
      <c r="B1426" t="s">
        <v>1341</v>
      </c>
      <c r="C1426" t="s">
        <v>7</v>
      </c>
      <c r="D1426" t="s">
        <v>11</v>
      </c>
      <c r="E1426" t="str">
        <f>"40.0802"</f>
        <v>40.0802</v>
      </c>
      <c r="F1426" t="s">
        <v>1341</v>
      </c>
    </row>
    <row r="1427" spans="1:6" x14ac:dyDescent="0.25">
      <c r="A1427" t="str">
        <f>"40.0804"</f>
        <v>40.0804</v>
      </c>
      <c r="B1427" t="s">
        <v>1342</v>
      </c>
      <c r="C1427" t="s">
        <v>7</v>
      </c>
      <c r="D1427" t="s">
        <v>11</v>
      </c>
      <c r="E1427" t="str">
        <f>"40.0804"</f>
        <v>40.0804</v>
      </c>
      <c r="F1427" t="s">
        <v>1342</v>
      </c>
    </row>
    <row r="1428" spans="1:6" x14ac:dyDescent="0.25">
      <c r="A1428" t="str">
        <f>"40.0805"</f>
        <v>40.0805</v>
      </c>
      <c r="B1428" t="s">
        <v>1343</v>
      </c>
      <c r="C1428" t="s">
        <v>7</v>
      </c>
      <c r="D1428" t="s">
        <v>11</v>
      </c>
      <c r="E1428" t="str">
        <f>"40.0805"</f>
        <v>40.0805</v>
      </c>
      <c r="F1428" t="s">
        <v>1343</v>
      </c>
    </row>
    <row r="1429" spans="1:6" x14ac:dyDescent="0.25">
      <c r="A1429" t="str">
        <f>"40.0806"</f>
        <v>40.0806</v>
      </c>
      <c r="B1429" t="s">
        <v>1344</v>
      </c>
      <c r="C1429" t="s">
        <v>7</v>
      </c>
      <c r="D1429" t="s">
        <v>11</v>
      </c>
      <c r="E1429" t="str">
        <f>"40.0806"</f>
        <v>40.0806</v>
      </c>
      <c r="F1429" t="s">
        <v>1344</v>
      </c>
    </row>
    <row r="1430" spans="1:6" x14ac:dyDescent="0.25">
      <c r="A1430" t="str">
        <f>"40.0807"</f>
        <v>40.0807</v>
      </c>
      <c r="B1430" t="s">
        <v>1345</v>
      </c>
      <c r="C1430" t="s">
        <v>7</v>
      </c>
      <c r="D1430" t="s">
        <v>11</v>
      </c>
      <c r="E1430" t="str">
        <f>"40.0807"</f>
        <v>40.0807</v>
      </c>
      <c r="F1430" t="s">
        <v>1345</v>
      </c>
    </row>
    <row r="1431" spans="1:6" x14ac:dyDescent="0.25">
      <c r="A1431" t="str">
        <f>"40.0808"</f>
        <v>40.0808</v>
      </c>
      <c r="B1431" t="s">
        <v>1346</v>
      </c>
      <c r="C1431" t="s">
        <v>7</v>
      </c>
      <c r="D1431" t="s">
        <v>11</v>
      </c>
      <c r="E1431" t="str">
        <f>"40.0808"</f>
        <v>40.0808</v>
      </c>
      <c r="F1431" t="s">
        <v>1346</v>
      </c>
    </row>
    <row r="1432" spans="1:6" x14ac:dyDescent="0.25">
      <c r="A1432" t="str">
        <f>"40.0809"</f>
        <v>40.0809</v>
      </c>
      <c r="B1432" t="s">
        <v>1347</v>
      </c>
      <c r="C1432" t="s">
        <v>7</v>
      </c>
      <c r="D1432" t="s">
        <v>11</v>
      </c>
      <c r="E1432" t="str">
        <f>"40.0809"</f>
        <v>40.0809</v>
      </c>
      <c r="F1432" t="s">
        <v>1347</v>
      </c>
    </row>
    <row r="1433" spans="1:6" x14ac:dyDescent="0.25">
      <c r="A1433" t="str">
        <f>"40.0810"</f>
        <v>40.0810</v>
      </c>
      <c r="B1433" t="s">
        <v>1348</v>
      </c>
      <c r="C1433" t="s">
        <v>7</v>
      </c>
      <c r="D1433" t="s">
        <v>11</v>
      </c>
      <c r="E1433" t="str">
        <f>"40.0810"</f>
        <v>40.0810</v>
      </c>
      <c r="F1433" t="s">
        <v>1348</v>
      </c>
    </row>
    <row r="1434" spans="1:6" x14ac:dyDescent="0.25">
      <c r="A1434" t="str">
        <f>"40.0899"</f>
        <v>40.0899</v>
      </c>
      <c r="B1434" t="s">
        <v>1349</v>
      </c>
      <c r="C1434" t="s">
        <v>7</v>
      </c>
      <c r="D1434" t="s">
        <v>11</v>
      </c>
      <c r="E1434" t="str">
        <f>"40.0899"</f>
        <v>40.0899</v>
      </c>
      <c r="F1434" t="s">
        <v>1349</v>
      </c>
    </row>
    <row r="1435" spans="1:6" x14ac:dyDescent="0.25">
      <c r="A1435" t="str">
        <f>"40.10"</f>
        <v>40.10</v>
      </c>
      <c r="B1435" t="s">
        <v>1350</v>
      </c>
      <c r="C1435" t="s">
        <v>7</v>
      </c>
      <c r="D1435" t="s">
        <v>11</v>
      </c>
      <c r="E1435" t="str">
        <f>"40.10"</f>
        <v>40.10</v>
      </c>
      <c r="F1435" t="s">
        <v>1350</v>
      </c>
    </row>
    <row r="1436" spans="1:6" x14ac:dyDescent="0.25">
      <c r="A1436" t="str">
        <f>"40.1001"</f>
        <v>40.1001</v>
      </c>
      <c r="B1436" t="s">
        <v>1351</v>
      </c>
      <c r="C1436" t="s">
        <v>7</v>
      </c>
      <c r="D1436" t="s">
        <v>11</v>
      </c>
      <c r="E1436" t="str">
        <f>"40.1001"</f>
        <v>40.1001</v>
      </c>
      <c r="F1436" t="s">
        <v>1351</v>
      </c>
    </row>
    <row r="1437" spans="1:6" x14ac:dyDescent="0.25">
      <c r="A1437" t="str">
        <f>"40.1002"</f>
        <v>40.1002</v>
      </c>
      <c r="B1437" t="s">
        <v>1352</v>
      </c>
      <c r="C1437" t="s">
        <v>7</v>
      </c>
      <c r="D1437" t="s">
        <v>11</v>
      </c>
      <c r="E1437" t="str">
        <f>"40.1002"</f>
        <v>40.1002</v>
      </c>
      <c r="F1437" t="s">
        <v>1352</v>
      </c>
    </row>
    <row r="1438" spans="1:6" x14ac:dyDescent="0.25">
      <c r="A1438" t="str">
        <f>"40.1099"</f>
        <v>40.1099</v>
      </c>
      <c r="B1438" t="s">
        <v>1353</v>
      </c>
      <c r="C1438" t="s">
        <v>7</v>
      </c>
      <c r="D1438" t="s">
        <v>11</v>
      </c>
      <c r="E1438" t="str">
        <f>"40.1099"</f>
        <v>40.1099</v>
      </c>
      <c r="F1438" t="s">
        <v>1353</v>
      </c>
    </row>
    <row r="1439" spans="1:6" x14ac:dyDescent="0.25">
      <c r="C1439" t="s">
        <v>26</v>
      </c>
      <c r="D1439" t="s">
        <v>11</v>
      </c>
      <c r="E1439" t="str">
        <f>"40.11"</f>
        <v>40.11</v>
      </c>
      <c r="F1439" t="s">
        <v>1354</v>
      </c>
    </row>
    <row r="1440" spans="1:6" x14ac:dyDescent="0.25">
      <c r="C1440" t="s">
        <v>26</v>
      </c>
      <c r="D1440" t="s">
        <v>11</v>
      </c>
      <c r="E1440" t="str">
        <f>"40.1101"</f>
        <v>40.1101</v>
      </c>
      <c r="F1440" t="s">
        <v>1354</v>
      </c>
    </row>
    <row r="1441" spans="1:6" x14ac:dyDescent="0.25">
      <c r="A1441" t="str">
        <f>"40.99"</f>
        <v>40.99</v>
      </c>
      <c r="B1441" t="s">
        <v>1355</v>
      </c>
      <c r="C1441" t="s">
        <v>7</v>
      </c>
      <c r="D1441" t="s">
        <v>11</v>
      </c>
      <c r="E1441" t="str">
        <f>"40.99"</f>
        <v>40.99</v>
      </c>
      <c r="F1441" t="s">
        <v>1355</v>
      </c>
    </row>
    <row r="1442" spans="1:6" x14ac:dyDescent="0.25">
      <c r="A1442" t="str">
        <f>"40.9999"</f>
        <v>40.9999</v>
      </c>
      <c r="B1442" t="s">
        <v>1355</v>
      </c>
      <c r="C1442" t="s">
        <v>7</v>
      </c>
      <c r="D1442" t="s">
        <v>11</v>
      </c>
      <c r="E1442" t="str">
        <f>"40.9999"</f>
        <v>40.9999</v>
      </c>
      <c r="F1442" t="s">
        <v>1355</v>
      </c>
    </row>
    <row r="1443" spans="1:6" x14ac:dyDescent="0.25">
      <c r="A1443" t="str">
        <f>"41"</f>
        <v>41</v>
      </c>
      <c r="B1443" t="s">
        <v>1356</v>
      </c>
      <c r="C1443" t="s">
        <v>7</v>
      </c>
      <c r="D1443" t="s">
        <v>11</v>
      </c>
      <c r="E1443" t="str">
        <f>"41"</f>
        <v>41</v>
      </c>
      <c r="F1443" t="s">
        <v>1356</v>
      </c>
    </row>
    <row r="1444" spans="1:6" x14ac:dyDescent="0.25">
      <c r="A1444" t="str">
        <f>"41.00"</f>
        <v>41.00</v>
      </c>
      <c r="B1444" t="s">
        <v>1357</v>
      </c>
      <c r="C1444" t="s">
        <v>7</v>
      </c>
      <c r="D1444" t="s">
        <v>11</v>
      </c>
      <c r="E1444" t="str">
        <f>"41.00"</f>
        <v>41.00</v>
      </c>
      <c r="F1444" t="s">
        <v>1357</v>
      </c>
    </row>
    <row r="1445" spans="1:6" x14ac:dyDescent="0.25">
      <c r="A1445" t="str">
        <f>"41.0000"</f>
        <v>41.0000</v>
      </c>
      <c r="B1445" t="s">
        <v>1357</v>
      </c>
      <c r="C1445" t="s">
        <v>7</v>
      </c>
      <c r="D1445" t="s">
        <v>11</v>
      </c>
      <c r="E1445" t="str">
        <f>"41.0000"</f>
        <v>41.0000</v>
      </c>
      <c r="F1445" t="s">
        <v>1357</v>
      </c>
    </row>
    <row r="1446" spans="1:6" x14ac:dyDescent="0.25">
      <c r="A1446" t="str">
        <f>"41.01"</f>
        <v>41.01</v>
      </c>
      <c r="B1446" t="s">
        <v>1358</v>
      </c>
      <c r="C1446" t="s">
        <v>7</v>
      </c>
      <c r="D1446" t="s">
        <v>8</v>
      </c>
      <c r="E1446" t="str">
        <f>"41.01"</f>
        <v>41.01</v>
      </c>
      <c r="F1446" t="s">
        <v>1359</v>
      </c>
    </row>
    <row r="1447" spans="1:6" x14ac:dyDescent="0.25">
      <c r="A1447" t="str">
        <f>"41.0101"</f>
        <v>41.0101</v>
      </c>
      <c r="B1447" t="s">
        <v>1358</v>
      </c>
      <c r="C1447" t="s">
        <v>7</v>
      </c>
      <c r="D1447" t="s">
        <v>8</v>
      </c>
      <c r="E1447" t="str">
        <f>"41.0101"</f>
        <v>41.0101</v>
      </c>
      <c r="F1447" t="s">
        <v>1360</v>
      </c>
    </row>
    <row r="1448" spans="1:6" x14ac:dyDescent="0.25">
      <c r="A1448" t="str">
        <f>"41.02"</f>
        <v>41.02</v>
      </c>
      <c r="B1448" t="s">
        <v>1361</v>
      </c>
      <c r="C1448" t="s">
        <v>7</v>
      </c>
      <c r="D1448" t="s">
        <v>11</v>
      </c>
      <c r="E1448" t="str">
        <f>"41.02"</f>
        <v>41.02</v>
      </c>
      <c r="F1448" t="s">
        <v>1361</v>
      </c>
    </row>
    <row r="1449" spans="1:6" x14ac:dyDescent="0.25">
      <c r="A1449" t="str">
        <f>"41.0204"</f>
        <v>41.0204</v>
      </c>
      <c r="B1449" t="s">
        <v>1362</v>
      </c>
      <c r="C1449" t="s">
        <v>7</v>
      </c>
      <c r="D1449" t="s">
        <v>11</v>
      </c>
      <c r="E1449" t="str">
        <f>"41.0204"</f>
        <v>41.0204</v>
      </c>
      <c r="F1449" t="s">
        <v>1362</v>
      </c>
    </row>
    <row r="1450" spans="1:6" x14ac:dyDescent="0.25">
      <c r="A1450" t="str">
        <f>"41.0205"</f>
        <v>41.0205</v>
      </c>
      <c r="B1450" t="s">
        <v>1363</v>
      </c>
      <c r="C1450" t="s">
        <v>7</v>
      </c>
      <c r="D1450" t="s">
        <v>11</v>
      </c>
      <c r="E1450" t="str">
        <f>"41.0205"</f>
        <v>41.0205</v>
      </c>
      <c r="F1450" t="s">
        <v>1363</v>
      </c>
    </row>
    <row r="1451" spans="1:6" x14ac:dyDescent="0.25">
      <c r="A1451" t="str">
        <f>"41.0299"</f>
        <v>41.0299</v>
      </c>
      <c r="B1451" t="s">
        <v>1364</v>
      </c>
      <c r="C1451" t="s">
        <v>7</v>
      </c>
      <c r="D1451" t="s">
        <v>11</v>
      </c>
      <c r="E1451" t="str">
        <f>"41.0299"</f>
        <v>41.0299</v>
      </c>
      <c r="F1451" t="s">
        <v>1364</v>
      </c>
    </row>
    <row r="1452" spans="1:6" x14ac:dyDescent="0.25">
      <c r="A1452" t="str">
        <f>"41.03"</f>
        <v>41.03</v>
      </c>
      <c r="B1452" t="s">
        <v>1365</v>
      </c>
      <c r="C1452" t="s">
        <v>7</v>
      </c>
      <c r="D1452" t="s">
        <v>11</v>
      </c>
      <c r="E1452" t="str">
        <f>"41.03"</f>
        <v>41.03</v>
      </c>
      <c r="F1452" t="s">
        <v>1365</v>
      </c>
    </row>
    <row r="1453" spans="1:6" x14ac:dyDescent="0.25">
      <c r="A1453" t="str">
        <f>"41.0301"</f>
        <v>41.0301</v>
      </c>
      <c r="B1453" t="s">
        <v>1366</v>
      </c>
      <c r="C1453" t="s">
        <v>7</v>
      </c>
      <c r="D1453" t="s">
        <v>11</v>
      </c>
      <c r="E1453" t="str">
        <f>"41.0301"</f>
        <v>41.0301</v>
      </c>
      <c r="F1453" t="s">
        <v>1366</v>
      </c>
    </row>
    <row r="1454" spans="1:6" x14ac:dyDescent="0.25">
      <c r="A1454" t="str">
        <f>"41.0303"</f>
        <v>41.0303</v>
      </c>
      <c r="B1454" t="s">
        <v>1367</v>
      </c>
      <c r="C1454" t="s">
        <v>7</v>
      </c>
      <c r="D1454" t="s">
        <v>11</v>
      </c>
      <c r="E1454" t="str">
        <f>"41.0303"</f>
        <v>41.0303</v>
      </c>
      <c r="F1454" t="s">
        <v>1367</v>
      </c>
    </row>
    <row r="1455" spans="1:6" x14ac:dyDescent="0.25">
      <c r="A1455" t="str">
        <f>"41.0399"</f>
        <v>41.0399</v>
      </c>
      <c r="B1455" t="s">
        <v>1368</v>
      </c>
      <c r="C1455" t="s">
        <v>7</v>
      </c>
      <c r="D1455" t="s">
        <v>11</v>
      </c>
      <c r="E1455" t="str">
        <f>"41.0399"</f>
        <v>41.0399</v>
      </c>
      <c r="F1455" t="s">
        <v>1368</v>
      </c>
    </row>
    <row r="1456" spans="1:6" x14ac:dyDescent="0.25">
      <c r="A1456" t="str">
        <f>"41.99"</f>
        <v>41.99</v>
      </c>
      <c r="B1456" t="s">
        <v>1369</v>
      </c>
      <c r="C1456" t="s">
        <v>7</v>
      </c>
      <c r="D1456" t="s">
        <v>11</v>
      </c>
      <c r="E1456" t="str">
        <f>"41.99"</f>
        <v>41.99</v>
      </c>
      <c r="F1456" t="s">
        <v>1369</v>
      </c>
    </row>
    <row r="1457" spans="1:6" x14ac:dyDescent="0.25">
      <c r="A1457" t="str">
        <f>"41.9999"</f>
        <v>41.9999</v>
      </c>
      <c r="B1457" t="s">
        <v>1369</v>
      </c>
      <c r="C1457" t="s">
        <v>7</v>
      </c>
      <c r="D1457" t="s">
        <v>11</v>
      </c>
      <c r="E1457" t="str">
        <f>"41.9999"</f>
        <v>41.9999</v>
      </c>
      <c r="F1457" t="s">
        <v>1369</v>
      </c>
    </row>
    <row r="1458" spans="1:6" x14ac:dyDescent="0.25">
      <c r="A1458" t="str">
        <f>"42"</f>
        <v>42</v>
      </c>
      <c r="B1458" t="s">
        <v>1370</v>
      </c>
      <c r="C1458" t="s">
        <v>7</v>
      </c>
      <c r="D1458" t="s">
        <v>11</v>
      </c>
      <c r="E1458" t="str">
        <f>"42"</f>
        <v>42</v>
      </c>
      <c r="F1458" t="s">
        <v>1370</v>
      </c>
    </row>
    <row r="1459" spans="1:6" x14ac:dyDescent="0.25">
      <c r="A1459" t="str">
        <f>"42.01"</f>
        <v>42.01</v>
      </c>
      <c r="B1459" t="s">
        <v>1371</v>
      </c>
      <c r="C1459" t="s">
        <v>7</v>
      </c>
      <c r="D1459" t="s">
        <v>11</v>
      </c>
      <c r="E1459" t="str">
        <f>"42.01"</f>
        <v>42.01</v>
      </c>
      <c r="F1459" t="s">
        <v>1371</v>
      </c>
    </row>
    <row r="1460" spans="1:6" x14ac:dyDescent="0.25">
      <c r="A1460" t="str">
        <f>"42.0101"</f>
        <v>42.0101</v>
      </c>
      <c r="B1460" t="s">
        <v>1371</v>
      </c>
      <c r="C1460" t="s">
        <v>7</v>
      </c>
      <c r="D1460" t="s">
        <v>11</v>
      </c>
      <c r="E1460" t="str">
        <f>"42.0101"</f>
        <v>42.0101</v>
      </c>
      <c r="F1460" t="s">
        <v>1371</v>
      </c>
    </row>
    <row r="1461" spans="1:6" x14ac:dyDescent="0.25">
      <c r="A1461" t="str">
        <f>"42.27"</f>
        <v>42.27</v>
      </c>
      <c r="B1461" t="s">
        <v>1372</v>
      </c>
      <c r="C1461" t="s">
        <v>7</v>
      </c>
      <c r="D1461" t="s">
        <v>11</v>
      </c>
      <c r="E1461" t="str">
        <f>"42.27"</f>
        <v>42.27</v>
      </c>
      <c r="F1461" t="s">
        <v>1372</v>
      </c>
    </row>
    <row r="1462" spans="1:6" x14ac:dyDescent="0.25">
      <c r="A1462" t="str">
        <f>"42.2701"</f>
        <v>42.2701</v>
      </c>
      <c r="B1462" t="s">
        <v>1373</v>
      </c>
      <c r="C1462" t="s">
        <v>7</v>
      </c>
      <c r="D1462" t="s">
        <v>11</v>
      </c>
      <c r="E1462" t="str">
        <f>"42.2701"</f>
        <v>42.2701</v>
      </c>
      <c r="F1462" t="s">
        <v>1373</v>
      </c>
    </row>
    <row r="1463" spans="1:6" x14ac:dyDescent="0.25">
      <c r="A1463" t="str">
        <f>"42.2702"</f>
        <v>42.2702</v>
      </c>
      <c r="B1463" t="s">
        <v>1374</v>
      </c>
      <c r="C1463" t="s">
        <v>7</v>
      </c>
      <c r="D1463" t="s">
        <v>11</v>
      </c>
      <c r="E1463" t="str">
        <f>"42.2702"</f>
        <v>42.2702</v>
      </c>
      <c r="F1463" t="s">
        <v>1374</v>
      </c>
    </row>
    <row r="1464" spans="1:6" x14ac:dyDescent="0.25">
      <c r="A1464" t="str">
        <f>"42.2703"</f>
        <v>42.2703</v>
      </c>
      <c r="B1464" t="s">
        <v>1375</v>
      </c>
      <c r="C1464" t="s">
        <v>7</v>
      </c>
      <c r="D1464" t="s">
        <v>8</v>
      </c>
      <c r="E1464" t="str">
        <f>"42.2703"</f>
        <v>42.2703</v>
      </c>
      <c r="F1464" t="s">
        <v>1375</v>
      </c>
    </row>
    <row r="1465" spans="1:6" x14ac:dyDescent="0.25">
      <c r="A1465" t="str">
        <f>"42.2704"</f>
        <v>42.2704</v>
      </c>
      <c r="B1465" t="s">
        <v>1376</v>
      </c>
      <c r="C1465" t="s">
        <v>7</v>
      </c>
      <c r="D1465" t="s">
        <v>11</v>
      </c>
      <c r="E1465" t="str">
        <f>"42.2704"</f>
        <v>42.2704</v>
      </c>
      <c r="F1465" t="s">
        <v>1376</v>
      </c>
    </row>
    <row r="1466" spans="1:6" x14ac:dyDescent="0.25">
      <c r="A1466" t="str">
        <f>"42.2705"</f>
        <v>42.2705</v>
      </c>
      <c r="B1466" t="s">
        <v>1377</v>
      </c>
      <c r="C1466" t="s">
        <v>7</v>
      </c>
      <c r="D1466" t="s">
        <v>11</v>
      </c>
      <c r="E1466" t="str">
        <f>"42.2705"</f>
        <v>42.2705</v>
      </c>
      <c r="F1466" t="s">
        <v>1377</v>
      </c>
    </row>
    <row r="1467" spans="1:6" x14ac:dyDescent="0.25">
      <c r="A1467" t="str">
        <f>"42.2706"</f>
        <v>42.2706</v>
      </c>
      <c r="B1467" t="s">
        <v>1378</v>
      </c>
      <c r="C1467" t="s">
        <v>7</v>
      </c>
      <c r="D1467" t="s">
        <v>8</v>
      </c>
      <c r="E1467" t="str">
        <f>"42.2706"</f>
        <v>42.2706</v>
      </c>
      <c r="F1467" t="s">
        <v>1379</v>
      </c>
    </row>
    <row r="1468" spans="1:6" x14ac:dyDescent="0.25">
      <c r="A1468" t="str">
        <f>"42.2707"</f>
        <v>42.2707</v>
      </c>
      <c r="B1468" t="s">
        <v>1380</v>
      </c>
      <c r="C1468" t="s">
        <v>7</v>
      </c>
      <c r="D1468" t="s">
        <v>11</v>
      </c>
      <c r="E1468" t="str">
        <f>"42.2707"</f>
        <v>42.2707</v>
      </c>
      <c r="F1468" t="s">
        <v>1380</v>
      </c>
    </row>
    <row r="1469" spans="1:6" x14ac:dyDescent="0.25">
      <c r="A1469" t="str">
        <f>"42.2708"</f>
        <v>42.2708</v>
      </c>
      <c r="B1469" t="s">
        <v>1381</v>
      </c>
      <c r="C1469" t="s">
        <v>7</v>
      </c>
      <c r="D1469" t="s">
        <v>11</v>
      </c>
      <c r="E1469" t="str">
        <f>"42.2708"</f>
        <v>42.2708</v>
      </c>
      <c r="F1469" t="s">
        <v>1381</v>
      </c>
    </row>
    <row r="1470" spans="1:6" x14ac:dyDescent="0.25">
      <c r="A1470" t="str">
        <f>"42.2709"</f>
        <v>42.2709</v>
      </c>
      <c r="B1470" t="s">
        <v>1382</v>
      </c>
      <c r="C1470" t="s">
        <v>7</v>
      </c>
      <c r="D1470" t="s">
        <v>11</v>
      </c>
      <c r="E1470" t="str">
        <f>"42.2709"</f>
        <v>42.2709</v>
      </c>
      <c r="F1470" t="s">
        <v>1382</v>
      </c>
    </row>
    <row r="1471" spans="1:6" x14ac:dyDescent="0.25">
      <c r="C1471" t="s">
        <v>26</v>
      </c>
      <c r="D1471" t="s">
        <v>11</v>
      </c>
      <c r="E1471" t="str">
        <f>"42.2710"</f>
        <v>42.2710</v>
      </c>
      <c r="F1471" t="s">
        <v>1383</v>
      </c>
    </row>
    <row r="1472" spans="1:6" x14ac:dyDescent="0.25">
      <c r="A1472" t="str">
        <f>"42.2799"</f>
        <v>42.2799</v>
      </c>
      <c r="B1472" t="s">
        <v>1384</v>
      </c>
      <c r="C1472" t="s">
        <v>7</v>
      </c>
      <c r="D1472" t="s">
        <v>11</v>
      </c>
      <c r="E1472" t="str">
        <f>"42.2799"</f>
        <v>42.2799</v>
      </c>
      <c r="F1472" t="s">
        <v>1384</v>
      </c>
    </row>
    <row r="1473" spans="1:6" x14ac:dyDescent="0.25">
      <c r="A1473" t="str">
        <f>"42.28"</f>
        <v>42.28</v>
      </c>
      <c r="B1473" t="s">
        <v>1385</v>
      </c>
      <c r="C1473" t="s">
        <v>7</v>
      </c>
      <c r="D1473" t="s">
        <v>11</v>
      </c>
      <c r="E1473" t="str">
        <f>"42.28"</f>
        <v>42.28</v>
      </c>
      <c r="F1473" t="s">
        <v>1385</v>
      </c>
    </row>
    <row r="1474" spans="1:6" x14ac:dyDescent="0.25">
      <c r="A1474" t="str">
        <f>"42.2801"</f>
        <v>42.2801</v>
      </c>
      <c r="B1474" t="s">
        <v>1386</v>
      </c>
      <c r="C1474" t="s">
        <v>7</v>
      </c>
      <c r="D1474" t="s">
        <v>11</v>
      </c>
      <c r="E1474" t="str">
        <f>"42.2801"</f>
        <v>42.2801</v>
      </c>
      <c r="F1474" t="s">
        <v>1386</v>
      </c>
    </row>
    <row r="1475" spans="1:6" x14ac:dyDescent="0.25">
      <c r="A1475" t="str">
        <f>"42.2802"</f>
        <v>42.2802</v>
      </c>
      <c r="B1475" t="s">
        <v>1387</v>
      </c>
      <c r="C1475" t="s">
        <v>7</v>
      </c>
      <c r="D1475" t="s">
        <v>11</v>
      </c>
      <c r="E1475" t="str">
        <f>"42.2802"</f>
        <v>42.2802</v>
      </c>
      <c r="F1475" t="s">
        <v>1387</v>
      </c>
    </row>
    <row r="1476" spans="1:6" x14ac:dyDescent="0.25">
      <c r="A1476" t="str">
        <f>"42.2803"</f>
        <v>42.2803</v>
      </c>
      <c r="B1476" t="s">
        <v>1388</v>
      </c>
      <c r="C1476" t="s">
        <v>7</v>
      </c>
      <c r="D1476" t="s">
        <v>11</v>
      </c>
      <c r="E1476" t="str">
        <f>"42.2803"</f>
        <v>42.2803</v>
      </c>
      <c r="F1476" t="s">
        <v>1388</v>
      </c>
    </row>
    <row r="1477" spans="1:6" x14ac:dyDescent="0.25">
      <c r="A1477" t="str">
        <f>"42.2804"</f>
        <v>42.2804</v>
      </c>
      <c r="B1477" t="s">
        <v>1389</v>
      </c>
      <c r="C1477" t="s">
        <v>7</v>
      </c>
      <c r="D1477" t="s">
        <v>11</v>
      </c>
      <c r="E1477" t="str">
        <f>"42.2804"</f>
        <v>42.2804</v>
      </c>
      <c r="F1477" t="s">
        <v>1389</v>
      </c>
    </row>
    <row r="1478" spans="1:6" x14ac:dyDescent="0.25">
      <c r="A1478" t="str">
        <f>"42.2805"</f>
        <v>42.2805</v>
      </c>
      <c r="B1478" t="s">
        <v>1390</v>
      </c>
      <c r="C1478" t="s">
        <v>7</v>
      </c>
      <c r="D1478" t="s">
        <v>11</v>
      </c>
      <c r="E1478" t="str">
        <f>"42.2805"</f>
        <v>42.2805</v>
      </c>
      <c r="F1478" t="s">
        <v>1390</v>
      </c>
    </row>
    <row r="1479" spans="1:6" x14ac:dyDescent="0.25">
      <c r="A1479" t="str">
        <f>"42.2806"</f>
        <v>42.2806</v>
      </c>
      <c r="B1479" t="s">
        <v>1391</v>
      </c>
      <c r="C1479" t="s">
        <v>7</v>
      </c>
      <c r="D1479" t="s">
        <v>11</v>
      </c>
      <c r="E1479" t="str">
        <f>"42.2806"</f>
        <v>42.2806</v>
      </c>
      <c r="F1479" t="s">
        <v>1391</v>
      </c>
    </row>
    <row r="1480" spans="1:6" x14ac:dyDescent="0.25">
      <c r="A1480" t="str">
        <f>"42.2807"</f>
        <v>42.2807</v>
      </c>
      <c r="B1480" t="s">
        <v>1392</v>
      </c>
      <c r="C1480" t="s">
        <v>7</v>
      </c>
      <c r="D1480" t="s">
        <v>11</v>
      </c>
      <c r="E1480" t="str">
        <f>"42.2807"</f>
        <v>42.2807</v>
      </c>
      <c r="F1480" t="s">
        <v>1392</v>
      </c>
    </row>
    <row r="1481" spans="1:6" x14ac:dyDescent="0.25">
      <c r="A1481" t="str">
        <f>"42.2808"</f>
        <v>42.2808</v>
      </c>
      <c r="B1481" t="s">
        <v>1393</v>
      </c>
      <c r="C1481" t="s">
        <v>7</v>
      </c>
      <c r="D1481" t="s">
        <v>11</v>
      </c>
      <c r="E1481" t="str">
        <f>"42.2808"</f>
        <v>42.2808</v>
      </c>
      <c r="F1481" t="s">
        <v>1393</v>
      </c>
    </row>
    <row r="1482" spans="1:6" x14ac:dyDescent="0.25">
      <c r="A1482" t="str">
        <f>"42.2809"</f>
        <v>42.2809</v>
      </c>
      <c r="B1482" t="s">
        <v>1394</v>
      </c>
      <c r="C1482" t="s">
        <v>7</v>
      </c>
      <c r="D1482" t="s">
        <v>11</v>
      </c>
      <c r="E1482" t="str">
        <f>"42.2809"</f>
        <v>42.2809</v>
      </c>
      <c r="F1482" t="s">
        <v>1394</v>
      </c>
    </row>
    <row r="1483" spans="1:6" x14ac:dyDescent="0.25">
      <c r="A1483" t="str">
        <f>"42.2810"</f>
        <v>42.2810</v>
      </c>
      <c r="B1483" t="s">
        <v>1395</v>
      </c>
      <c r="C1483" t="s">
        <v>7</v>
      </c>
      <c r="D1483" t="s">
        <v>11</v>
      </c>
      <c r="E1483" t="str">
        <f>"42.2810"</f>
        <v>42.2810</v>
      </c>
      <c r="F1483" t="s">
        <v>1395</v>
      </c>
    </row>
    <row r="1484" spans="1:6" x14ac:dyDescent="0.25">
      <c r="A1484" t="str">
        <f>"42.2811"</f>
        <v>42.2811</v>
      </c>
      <c r="B1484" t="s">
        <v>1396</v>
      </c>
      <c r="C1484" t="s">
        <v>7</v>
      </c>
      <c r="D1484" t="s">
        <v>11</v>
      </c>
      <c r="E1484" t="str">
        <f>"42.2811"</f>
        <v>42.2811</v>
      </c>
      <c r="F1484" t="s">
        <v>1396</v>
      </c>
    </row>
    <row r="1485" spans="1:6" x14ac:dyDescent="0.25">
      <c r="A1485" t="str">
        <f>"42.2812"</f>
        <v>42.2812</v>
      </c>
      <c r="B1485" t="s">
        <v>1397</v>
      </c>
      <c r="C1485" t="s">
        <v>7</v>
      </c>
      <c r="D1485" t="s">
        <v>11</v>
      </c>
      <c r="E1485" t="str">
        <f>"42.2812"</f>
        <v>42.2812</v>
      </c>
      <c r="F1485" t="s">
        <v>1397</v>
      </c>
    </row>
    <row r="1486" spans="1:6" x14ac:dyDescent="0.25">
      <c r="A1486" t="str">
        <f>"42.2813"</f>
        <v>42.2813</v>
      </c>
      <c r="B1486" t="s">
        <v>1398</v>
      </c>
      <c r="C1486" t="s">
        <v>7</v>
      </c>
      <c r="D1486" t="s">
        <v>11</v>
      </c>
      <c r="E1486" t="str">
        <f>"42.2813"</f>
        <v>42.2813</v>
      </c>
      <c r="F1486" t="s">
        <v>1398</v>
      </c>
    </row>
    <row r="1487" spans="1:6" x14ac:dyDescent="0.25">
      <c r="A1487" t="str">
        <f>"42.2814"</f>
        <v>42.2814</v>
      </c>
      <c r="B1487" t="s">
        <v>1399</v>
      </c>
      <c r="C1487" t="s">
        <v>7</v>
      </c>
      <c r="D1487" t="s">
        <v>11</v>
      </c>
      <c r="E1487" t="str">
        <f>"42.2814"</f>
        <v>42.2814</v>
      </c>
      <c r="F1487" t="s">
        <v>1399</v>
      </c>
    </row>
    <row r="1488" spans="1:6" x14ac:dyDescent="0.25">
      <c r="C1488" t="s">
        <v>26</v>
      </c>
      <c r="D1488" t="s">
        <v>11</v>
      </c>
      <c r="E1488" t="str">
        <f>"42.2815"</f>
        <v>42.2815</v>
      </c>
      <c r="F1488" t="s">
        <v>1400</v>
      </c>
    </row>
    <row r="1489" spans="1:6" x14ac:dyDescent="0.25">
      <c r="C1489" t="s">
        <v>26</v>
      </c>
      <c r="D1489" t="s">
        <v>11</v>
      </c>
      <c r="E1489" t="str">
        <f>"42.2816"</f>
        <v>42.2816</v>
      </c>
      <c r="F1489" t="s">
        <v>1401</v>
      </c>
    </row>
    <row r="1490" spans="1:6" x14ac:dyDescent="0.25">
      <c r="C1490" t="s">
        <v>26</v>
      </c>
      <c r="D1490" t="s">
        <v>11</v>
      </c>
      <c r="E1490" t="str">
        <f>"42.2817"</f>
        <v>42.2817</v>
      </c>
      <c r="F1490" t="s">
        <v>1402</v>
      </c>
    </row>
    <row r="1491" spans="1:6" x14ac:dyDescent="0.25">
      <c r="A1491" t="str">
        <f>"42.2899"</f>
        <v>42.2899</v>
      </c>
      <c r="B1491" t="s">
        <v>1403</v>
      </c>
      <c r="C1491" t="s">
        <v>7</v>
      </c>
      <c r="D1491" t="s">
        <v>11</v>
      </c>
      <c r="E1491" t="str">
        <f>"42.2899"</f>
        <v>42.2899</v>
      </c>
      <c r="F1491" t="s">
        <v>1403</v>
      </c>
    </row>
    <row r="1492" spans="1:6" x14ac:dyDescent="0.25">
      <c r="A1492" t="str">
        <f>"42.99"</f>
        <v>42.99</v>
      </c>
      <c r="B1492" t="s">
        <v>1404</v>
      </c>
      <c r="C1492" t="s">
        <v>7</v>
      </c>
      <c r="D1492" t="s">
        <v>11</v>
      </c>
      <c r="E1492" t="str">
        <f>"42.99"</f>
        <v>42.99</v>
      </c>
      <c r="F1492" t="s">
        <v>1404</v>
      </c>
    </row>
    <row r="1493" spans="1:6" x14ac:dyDescent="0.25">
      <c r="A1493" t="str">
        <f>"42.9999"</f>
        <v>42.9999</v>
      </c>
      <c r="B1493" t="s">
        <v>1404</v>
      </c>
      <c r="C1493" t="s">
        <v>7</v>
      </c>
      <c r="D1493" t="s">
        <v>11</v>
      </c>
      <c r="E1493" t="str">
        <f>"42.9999"</f>
        <v>42.9999</v>
      </c>
      <c r="F1493" t="s">
        <v>1404</v>
      </c>
    </row>
    <row r="1494" spans="1:6" x14ac:dyDescent="0.25">
      <c r="A1494" t="str">
        <f>"43"</f>
        <v>43</v>
      </c>
      <c r="B1494" t="s">
        <v>1405</v>
      </c>
      <c r="C1494" t="s">
        <v>7</v>
      </c>
      <c r="D1494" t="s">
        <v>11</v>
      </c>
      <c r="E1494" t="str">
        <f>"43"</f>
        <v>43</v>
      </c>
      <c r="F1494" t="s">
        <v>1405</v>
      </c>
    </row>
    <row r="1495" spans="1:6" x14ac:dyDescent="0.25">
      <c r="A1495" t="str">
        <f>"43.01"</f>
        <v>43.01</v>
      </c>
      <c r="B1495" t="s">
        <v>1406</v>
      </c>
      <c r="C1495" t="s">
        <v>7</v>
      </c>
      <c r="D1495" t="s">
        <v>11</v>
      </c>
      <c r="E1495" t="str">
        <f>"43.01"</f>
        <v>43.01</v>
      </c>
      <c r="F1495" t="s">
        <v>1406</v>
      </c>
    </row>
    <row r="1496" spans="1:6" x14ac:dyDescent="0.25">
      <c r="C1496" t="s">
        <v>26</v>
      </c>
      <c r="D1496" t="s">
        <v>11</v>
      </c>
      <c r="E1496" t="str">
        <f>"43.0100"</f>
        <v>43.0100</v>
      </c>
      <c r="F1496" t="s">
        <v>1407</v>
      </c>
    </row>
    <row r="1497" spans="1:6" x14ac:dyDescent="0.25">
      <c r="A1497" t="str">
        <f>"43.0102"</f>
        <v>43.0102</v>
      </c>
      <c r="B1497" t="s">
        <v>1408</v>
      </c>
      <c r="C1497" t="s">
        <v>7</v>
      </c>
      <c r="D1497" t="s">
        <v>11</v>
      </c>
      <c r="E1497" t="str">
        <f>"43.0102"</f>
        <v>43.0102</v>
      </c>
      <c r="F1497" t="s">
        <v>1408</v>
      </c>
    </row>
    <row r="1498" spans="1:6" x14ac:dyDescent="0.25">
      <c r="A1498" t="str">
        <f>"43.0103"</f>
        <v>43.0103</v>
      </c>
      <c r="B1498" t="s">
        <v>1409</v>
      </c>
      <c r="C1498" t="s">
        <v>7</v>
      </c>
      <c r="D1498" t="s">
        <v>11</v>
      </c>
      <c r="E1498" t="str">
        <f>"43.0103"</f>
        <v>43.0103</v>
      </c>
      <c r="F1498" t="s">
        <v>1409</v>
      </c>
    </row>
    <row r="1499" spans="1:6" x14ac:dyDescent="0.25">
      <c r="A1499" t="str">
        <f>"43.0104"</f>
        <v>43.0104</v>
      </c>
      <c r="B1499" t="s">
        <v>1410</v>
      </c>
      <c r="C1499" t="s">
        <v>7</v>
      </c>
      <c r="D1499" t="s">
        <v>11</v>
      </c>
      <c r="E1499" t="str">
        <f>"43.0104"</f>
        <v>43.0104</v>
      </c>
      <c r="F1499" t="s">
        <v>1410</v>
      </c>
    </row>
    <row r="1500" spans="1:6" x14ac:dyDescent="0.25">
      <c r="A1500" t="str">
        <f>"43.0106"</f>
        <v>43.0106</v>
      </c>
      <c r="B1500" t="s">
        <v>1411</v>
      </c>
      <c r="C1500" t="s">
        <v>38</v>
      </c>
      <c r="D1500" t="s">
        <v>11</v>
      </c>
      <c r="E1500" t="str">
        <f>"43.0406"</f>
        <v>43.0406</v>
      </c>
      <c r="F1500" t="s">
        <v>1411</v>
      </c>
    </row>
    <row r="1501" spans="1:6" x14ac:dyDescent="0.25">
      <c r="A1501" t="str">
        <f>"43.0107"</f>
        <v>43.0107</v>
      </c>
      <c r="B1501" t="s">
        <v>1412</v>
      </c>
      <c r="C1501" t="s">
        <v>7</v>
      </c>
      <c r="D1501" t="s">
        <v>11</v>
      </c>
      <c r="E1501" t="str">
        <f>"43.0107"</f>
        <v>43.0107</v>
      </c>
      <c r="F1501" t="s">
        <v>1412</v>
      </c>
    </row>
    <row r="1502" spans="1:6" x14ac:dyDescent="0.25">
      <c r="A1502" t="str">
        <f>"43.0109"</f>
        <v>43.0109</v>
      </c>
      <c r="B1502" t="s">
        <v>1413</v>
      </c>
      <c r="C1502" t="s">
        <v>7</v>
      </c>
      <c r="D1502" t="s">
        <v>11</v>
      </c>
      <c r="E1502" t="str">
        <f>"43.0109"</f>
        <v>43.0109</v>
      </c>
      <c r="F1502" t="s">
        <v>1413</v>
      </c>
    </row>
    <row r="1503" spans="1:6" x14ac:dyDescent="0.25">
      <c r="A1503" t="str">
        <f>"43.0110"</f>
        <v>43.0110</v>
      </c>
      <c r="B1503" t="s">
        <v>1414</v>
      </c>
      <c r="C1503" t="s">
        <v>7</v>
      </c>
      <c r="D1503" t="s">
        <v>11</v>
      </c>
      <c r="E1503" t="str">
        <f>"43.0110"</f>
        <v>43.0110</v>
      </c>
      <c r="F1503" t="s">
        <v>1414</v>
      </c>
    </row>
    <row r="1504" spans="1:6" x14ac:dyDescent="0.25">
      <c r="A1504" t="str">
        <f>"43.0111"</f>
        <v>43.0111</v>
      </c>
      <c r="B1504" t="s">
        <v>1415</v>
      </c>
      <c r="C1504" t="s">
        <v>38</v>
      </c>
      <c r="D1504" t="s">
        <v>11</v>
      </c>
      <c r="E1504" t="str">
        <f>"43.0402"</f>
        <v>43.0402</v>
      </c>
      <c r="F1504" t="s">
        <v>1415</v>
      </c>
    </row>
    <row r="1505" spans="1:6" x14ac:dyDescent="0.25">
      <c r="A1505" t="str">
        <f>"43.0112"</f>
        <v>43.0112</v>
      </c>
      <c r="B1505" t="s">
        <v>1416</v>
      </c>
      <c r="C1505" t="s">
        <v>7</v>
      </c>
      <c r="D1505" t="s">
        <v>11</v>
      </c>
      <c r="E1505" t="str">
        <f>"43.0112"</f>
        <v>43.0112</v>
      </c>
      <c r="F1505" t="s">
        <v>1416</v>
      </c>
    </row>
    <row r="1506" spans="1:6" x14ac:dyDescent="0.25">
      <c r="A1506" t="str">
        <f>"43.0113"</f>
        <v>43.0113</v>
      </c>
      <c r="B1506" t="s">
        <v>1417</v>
      </c>
      <c r="C1506" t="s">
        <v>7</v>
      </c>
      <c r="D1506" t="s">
        <v>11</v>
      </c>
      <c r="E1506" t="str">
        <f>"43.0113"</f>
        <v>43.0113</v>
      </c>
      <c r="F1506" t="s">
        <v>1417</v>
      </c>
    </row>
    <row r="1507" spans="1:6" x14ac:dyDescent="0.25">
      <c r="A1507" t="str">
        <f>"43.0114"</f>
        <v>43.0114</v>
      </c>
      <c r="B1507" t="s">
        <v>1418</v>
      </c>
      <c r="C1507" t="s">
        <v>7</v>
      </c>
      <c r="D1507" t="s">
        <v>11</v>
      </c>
      <c r="E1507" t="str">
        <f>"43.0114"</f>
        <v>43.0114</v>
      </c>
      <c r="F1507" t="s">
        <v>1418</v>
      </c>
    </row>
    <row r="1508" spans="1:6" x14ac:dyDescent="0.25">
      <c r="A1508" t="str">
        <f>"43.0115"</f>
        <v>43.0115</v>
      </c>
      <c r="B1508" t="s">
        <v>1419</v>
      </c>
      <c r="C1508" t="s">
        <v>7</v>
      </c>
      <c r="D1508" t="s">
        <v>11</v>
      </c>
      <c r="E1508" t="str">
        <f>"43.0115"</f>
        <v>43.0115</v>
      </c>
      <c r="F1508" t="s">
        <v>1419</v>
      </c>
    </row>
    <row r="1509" spans="1:6" x14ac:dyDescent="0.25">
      <c r="A1509" t="str">
        <f>"43.0116"</f>
        <v>43.0116</v>
      </c>
      <c r="B1509" t="s">
        <v>1420</v>
      </c>
      <c r="C1509" t="s">
        <v>38</v>
      </c>
      <c r="D1509" t="s">
        <v>11</v>
      </c>
      <c r="E1509" t="str">
        <f>"43.0403"</f>
        <v>43.0403</v>
      </c>
      <c r="F1509" t="s">
        <v>1420</v>
      </c>
    </row>
    <row r="1510" spans="1:6" x14ac:dyDescent="0.25">
      <c r="A1510" t="str">
        <f>"43.0117"</f>
        <v>43.0117</v>
      </c>
      <c r="B1510" t="s">
        <v>1421</v>
      </c>
      <c r="C1510" t="s">
        <v>38</v>
      </c>
      <c r="D1510" t="s">
        <v>11</v>
      </c>
      <c r="E1510" t="str">
        <f>"43.0405"</f>
        <v>43.0405</v>
      </c>
      <c r="F1510" t="s">
        <v>1421</v>
      </c>
    </row>
    <row r="1511" spans="1:6" x14ac:dyDescent="0.25">
      <c r="A1511" t="str">
        <f>"43.0118"</f>
        <v>43.0118</v>
      </c>
      <c r="B1511" t="s">
        <v>1422</v>
      </c>
      <c r="C1511" t="s">
        <v>38</v>
      </c>
      <c r="D1511" t="s">
        <v>11</v>
      </c>
      <c r="E1511" t="str">
        <f>"43.0408"</f>
        <v>43.0408</v>
      </c>
      <c r="F1511" t="s">
        <v>1422</v>
      </c>
    </row>
    <row r="1512" spans="1:6" x14ac:dyDescent="0.25">
      <c r="A1512" t="str">
        <f>"43.0119"</f>
        <v>43.0119</v>
      </c>
      <c r="B1512" t="s">
        <v>1423</v>
      </c>
      <c r="C1512" t="s">
        <v>7</v>
      </c>
      <c r="D1512" t="s">
        <v>11</v>
      </c>
      <c r="E1512" t="str">
        <f>"43.0119"</f>
        <v>43.0119</v>
      </c>
      <c r="F1512" t="s">
        <v>1423</v>
      </c>
    </row>
    <row r="1513" spans="1:6" x14ac:dyDescent="0.25">
      <c r="A1513" t="str">
        <f>"43.0120"</f>
        <v>43.0120</v>
      </c>
      <c r="B1513" t="s">
        <v>1424</v>
      </c>
      <c r="C1513" t="s">
        <v>7</v>
      </c>
      <c r="D1513" t="s">
        <v>11</v>
      </c>
      <c r="E1513" t="str">
        <f>"43.0120"</f>
        <v>43.0120</v>
      </c>
      <c r="F1513" t="s">
        <v>1424</v>
      </c>
    </row>
    <row r="1514" spans="1:6" x14ac:dyDescent="0.25">
      <c r="A1514" t="str">
        <f>"43.0121"</f>
        <v>43.0121</v>
      </c>
      <c r="B1514" t="s">
        <v>1425</v>
      </c>
      <c r="C1514" t="s">
        <v>7</v>
      </c>
      <c r="D1514" t="s">
        <v>11</v>
      </c>
      <c r="E1514" t="str">
        <f>"43.0121"</f>
        <v>43.0121</v>
      </c>
      <c r="F1514" t="s">
        <v>1425</v>
      </c>
    </row>
    <row r="1515" spans="1:6" x14ac:dyDescent="0.25">
      <c r="A1515" t="str">
        <f>"43.0122"</f>
        <v>43.0122</v>
      </c>
      <c r="B1515" t="s">
        <v>1426</v>
      </c>
      <c r="C1515" t="s">
        <v>7</v>
      </c>
      <c r="D1515" t="s">
        <v>11</v>
      </c>
      <c r="E1515" t="str">
        <f>"43.0122"</f>
        <v>43.0122</v>
      </c>
      <c r="F1515" t="s">
        <v>1426</v>
      </c>
    </row>
    <row r="1516" spans="1:6" x14ac:dyDescent="0.25">
      <c r="A1516" t="str">
        <f>"43.0123"</f>
        <v>43.0123</v>
      </c>
      <c r="B1516" t="s">
        <v>1427</v>
      </c>
      <c r="C1516" t="s">
        <v>7</v>
      </c>
      <c r="D1516" t="s">
        <v>11</v>
      </c>
      <c r="E1516" t="str">
        <f>"43.0123"</f>
        <v>43.0123</v>
      </c>
      <c r="F1516" t="s">
        <v>1427</v>
      </c>
    </row>
    <row r="1517" spans="1:6" x14ac:dyDescent="0.25">
      <c r="A1517" t="str">
        <f>"43.0199"</f>
        <v>43.0199</v>
      </c>
      <c r="B1517" t="s">
        <v>1428</v>
      </c>
      <c r="C1517" t="s">
        <v>7</v>
      </c>
      <c r="D1517" t="s">
        <v>11</v>
      </c>
      <c r="E1517" t="str">
        <f>"43.0199"</f>
        <v>43.0199</v>
      </c>
      <c r="F1517" t="s">
        <v>1428</v>
      </c>
    </row>
    <row r="1518" spans="1:6" x14ac:dyDescent="0.25">
      <c r="A1518" t="str">
        <f>"43.02"</f>
        <v>43.02</v>
      </c>
      <c r="B1518" t="s">
        <v>1429</v>
      </c>
      <c r="C1518" t="s">
        <v>7</v>
      </c>
      <c r="D1518" t="s">
        <v>11</v>
      </c>
      <c r="E1518" t="str">
        <f>"43.02"</f>
        <v>43.02</v>
      </c>
      <c r="F1518" t="s">
        <v>1429</v>
      </c>
    </row>
    <row r="1519" spans="1:6" x14ac:dyDescent="0.25">
      <c r="A1519" t="str">
        <f>"43.0201"</f>
        <v>43.0201</v>
      </c>
      <c r="B1519" t="s">
        <v>1430</v>
      </c>
      <c r="C1519" t="s">
        <v>7</v>
      </c>
      <c r="D1519" t="s">
        <v>11</v>
      </c>
      <c r="E1519" t="str">
        <f>"43.0201"</f>
        <v>43.0201</v>
      </c>
      <c r="F1519" t="s">
        <v>1430</v>
      </c>
    </row>
    <row r="1520" spans="1:6" x14ac:dyDescent="0.25">
      <c r="A1520" t="str">
        <f>"43.0202"</f>
        <v>43.0202</v>
      </c>
      <c r="B1520" t="s">
        <v>1431</v>
      </c>
      <c r="C1520" t="s">
        <v>7</v>
      </c>
      <c r="D1520" t="s">
        <v>11</v>
      </c>
      <c r="E1520" t="str">
        <f>"43.0202"</f>
        <v>43.0202</v>
      </c>
      <c r="F1520" t="s">
        <v>1431</v>
      </c>
    </row>
    <row r="1521" spans="1:6" x14ac:dyDescent="0.25">
      <c r="A1521" t="str">
        <f>"43.0203"</f>
        <v>43.0203</v>
      </c>
      <c r="B1521" t="s">
        <v>1432</v>
      </c>
      <c r="C1521" t="s">
        <v>7</v>
      </c>
      <c r="D1521" t="s">
        <v>11</v>
      </c>
      <c r="E1521" t="str">
        <f>"43.0203"</f>
        <v>43.0203</v>
      </c>
      <c r="F1521" t="s">
        <v>1432</v>
      </c>
    </row>
    <row r="1522" spans="1:6" x14ac:dyDescent="0.25">
      <c r="A1522" t="str">
        <f>"43.0204"</f>
        <v>43.0204</v>
      </c>
      <c r="B1522" t="s">
        <v>1433</v>
      </c>
      <c r="C1522" t="s">
        <v>7</v>
      </c>
      <c r="D1522" t="s">
        <v>11</v>
      </c>
      <c r="E1522" t="str">
        <f>"43.0204"</f>
        <v>43.0204</v>
      </c>
      <c r="F1522" t="s">
        <v>1433</v>
      </c>
    </row>
    <row r="1523" spans="1:6" x14ac:dyDescent="0.25">
      <c r="A1523" t="str">
        <f>"43.0205"</f>
        <v>43.0205</v>
      </c>
      <c r="B1523" t="s">
        <v>1434</v>
      </c>
      <c r="C1523" t="s">
        <v>7</v>
      </c>
      <c r="D1523" t="s">
        <v>11</v>
      </c>
      <c r="E1523" t="str">
        <f>"43.0205"</f>
        <v>43.0205</v>
      </c>
      <c r="F1523" t="s">
        <v>1434</v>
      </c>
    </row>
    <row r="1524" spans="1:6" x14ac:dyDescent="0.25">
      <c r="A1524" t="str">
        <f>"43.0206"</f>
        <v>43.0206</v>
      </c>
      <c r="B1524" t="s">
        <v>1435</v>
      </c>
      <c r="C1524" t="s">
        <v>7</v>
      </c>
      <c r="D1524" t="s">
        <v>11</v>
      </c>
      <c r="E1524" t="str">
        <f>"43.0206"</f>
        <v>43.0206</v>
      </c>
      <c r="F1524" t="s">
        <v>1435</v>
      </c>
    </row>
    <row r="1525" spans="1:6" x14ac:dyDescent="0.25">
      <c r="A1525" t="str">
        <f>"43.0299"</f>
        <v>43.0299</v>
      </c>
      <c r="B1525" t="s">
        <v>1436</v>
      </c>
      <c r="C1525" t="s">
        <v>7</v>
      </c>
      <c r="D1525" t="s">
        <v>11</v>
      </c>
      <c r="E1525" t="str">
        <f>"43.0299"</f>
        <v>43.0299</v>
      </c>
      <c r="F1525" t="s">
        <v>1436</v>
      </c>
    </row>
    <row r="1526" spans="1:6" x14ac:dyDescent="0.25">
      <c r="A1526" t="str">
        <f>"43.03"</f>
        <v>43.03</v>
      </c>
      <c r="B1526" t="s">
        <v>1437</v>
      </c>
      <c r="C1526" t="s">
        <v>7</v>
      </c>
      <c r="D1526" t="s">
        <v>11</v>
      </c>
      <c r="E1526" t="str">
        <f>"43.03"</f>
        <v>43.03</v>
      </c>
      <c r="F1526" t="s">
        <v>1437</v>
      </c>
    </row>
    <row r="1527" spans="1:6" x14ac:dyDescent="0.25">
      <c r="A1527" t="str">
        <f>"43.0301"</f>
        <v>43.0301</v>
      </c>
      <c r="B1527" t="s">
        <v>1437</v>
      </c>
      <c r="C1527" t="s">
        <v>7</v>
      </c>
      <c r="D1527" t="s">
        <v>11</v>
      </c>
      <c r="E1527" t="str">
        <f>"43.0301"</f>
        <v>43.0301</v>
      </c>
      <c r="F1527" t="s">
        <v>1437</v>
      </c>
    </row>
    <row r="1528" spans="1:6" x14ac:dyDescent="0.25">
      <c r="A1528" t="str">
        <f>"43.0302"</f>
        <v>43.0302</v>
      </c>
      <c r="B1528" t="s">
        <v>1438</v>
      </c>
      <c r="C1528" t="s">
        <v>7</v>
      </c>
      <c r="D1528" t="s">
        <v>11</v>
      </c>
      <c r="E1528" t="str">
        <f>"43.0302"</f>
        <v>43.0302</v>
      </c>
      <c r="F1528" t="s">
        <v>1438</v>
      </c>
    </row>
    <row r="1529" spans="1:6" x14ac:dyDescent="0.25">
      <c r="A1529" t="str">
        <f>"43.0303"</f>
        <v>43.0303</v>
      </c>
      <c r="B1529" t="s">
        <v>1439</v>
      </c>
      <c r="C1529" t="s">
        <v>7</v>
      </c>
      <c r="D1529" t="s">
        <v>11</v>
      </c>
      <c r="E1529" t="str">
        <f>"43.0303"</f>
        <v>43.0303</v>
      </c>
      <c r="F1529" t="s">
        <v>1439</v>
      </c>
    </row>
    <row r="1530" spans="1:6" x14ac:dyDescent="0.25">
      <c r="A1530" t="str">
        <f>"43.0304"</f>
        <v>43.0304</v>
      </c>
      <c r="B1530" t="s">
        <v>1440</v>
      </c>
      <c r="C1530" t="s">
        <v>7</v>
      </c>
      <c r="D1530" t="s">
        <v>11</v>
      </c>
      <c r="E1530" t="str">
        <f>"43.0304"</f>
        <v>43.0304</v>
      </c>
      <c r="F1530" t="s">
        <v>1440</v>
      </c>
    </row>
    <row r="1531" spans="1:6" x14ac:dyDescent="0.25">
      <c r="A1531" t="str">
        <f>"43.0399"</f>
        <v>43.0399</v>
      </c>
      <c r="B1531" t="s">
        <v>1441</v>
      </c>
      <c r="C1531" t="s">
        <v>7</v>
      </c>
      <c r="D1531" t="s">
        <v>11</v>
      </c>
      <c r="E1531" t="str">
        <f>"43.0399"</f>
        <v>43.0399</v>
      </c>
      <c r="F1531" t="s">
        <v>1441</v>
      </c>
    </row>
    <row r="1532" spans="1:6" x14ac:dyDescent="0.25">
      <c r="C1532" t="s">
        <v>26</v>
      </c>
      <c r="D1532" t="s">
        <v>11</v>
      </c>
      <c r="E1532" t="str">
        <f>"43.04"</f>
        <v>43.04</v>
      </c>
      <c r="F1532" t="s">
        <v>1442</v>
      </c>
    </row>
    <row r="1533" spans="1:6" x14ac:dyDescent="0.25">
      <c r="C1533" t="s">
        <v>26</v>
      </c>
      <c r="D1533" t="s">
        <v>11</v>
      </c>
      <c r="E1533" t="str">
        <f>"43.0401"</f>
        <v>43.0401</v>
      </c>
      <c r="F1533" t="s">
        <v>1443</v>
      </c>
    </row>
    <row r="1534" spans="1:6" x14ac:dyDescent="0.25">
      <c r="C1534" t="s">
        <v>26</v>
      </c>
      <c r="D1534" t="s">
        <v>11</v>
      </c>
      <c r="E1534" t="str">
        <f>"43.0404"</f>
        <v>43.0404</v>
      </c>
      <c r="F1534" t="s">
        <v>1444</v>
      </c>
    </row>
    <row r="1535" spans="1:6" x14ac:dyDescent="0.25">
      <c r="C1535" t="s">
        <v>26</v>
      </c>
      <c r="D1535" t="s">
        <v>11</v>
      </c>
      <c r="E1535" t="str">
        <f>"43.0407"</f>
        <v>43.0407</v>
      </c>
      <c r="F1535" t="s">
        <v>1445</v>
      </c>
    </row>
    <row r="1536" spans="1:6" x14ac:dyDescent="0.25">
      <c r="C1536" t="s">
        <v>26</v>
      </c>
      <c r="D1536" t="s">
        <v>11</v>
      </c>
      <c r="E1536" t="str">
        <f>"43.0499"</f>
        <v>43.0499</v>
      </c>
      <c r="F1536" t="s">
        <v>1446</v>
      </c>
    </row>
    <row r="1537" spans="1:6" x14ac:dyDescent="0.25">
      <c r="A1537" t="str">
        <f>"43.99"</f>
        <v>43.99</v>
      </c>
      <c r="B1537" t="s">
        <v>1447</v>
      </c>
      <c r="C1537" t="s">
        <v>7</v>
      </c>
      <c r="D1537" t="s">
        <v>11</v>
      </c>
      <c r="E1537" t="str">
        <f>"43.99"</f>
        <v>43.99</v>
      </c>
      <c r="F1537" t="s">
        <v>1447</v>
      </c>
    </row>
    <row r="1538" spans="1:6" x14ac:dyDescent="0.25">
      <c r="A1538" t="str">
        <f>"43.9999"</f>
        <v>43.9999</v>
      </c>
      <c r="B1538" t="s">
        <v>1447</v>
      </c>
      <c r="C1538" t="s">
        <v>7</v>
      </c>
      <c r="D1538" t="s">
        <v>11</v>
      </c>
      <c r="E1538" t="str">
        <f>"43.9999"</f>
        <v>43.9999</v>
      </c>
      <c r="F1538" t="s">
        <v>1447</v>
      </c>
    </row>
    <row r="1539" spans="1:6" x14ac:dyDescent="0.25">
      <c r="A1539" t="str">
        <f>"44"</f>
        <v>44</v>
      </c>
      <c r="B1539" t="s">
        <v>1448</v>
      </c>
      <c r="C1539" t="s">
        <v>7</v>
      </c>
      <c r="D1539" t="s">
        <v>11</v>
      </c>
      <c r="E1539" t="str">
        <f>"44"</f>
        <v>44</v>
      </c>
      <c r="F1539" t="s">
        <v>1448</v>
      </c>
    </row>
    <row r="1540" spans="1:6" x14ac:dyDescent="0.25">
      <c r="A1540" t="str">
        <f>"44.00"</f>
        <v>44.00</v>
      </c>
      <c r="B1540" t="s">
        <v>1449</v>
      </c>
      <c r="C1540" t="s">
        <v>7</v>
      </c>
      <c r="D1540" t="s">
        <v>11</v>
      </c>
      <c r="E1540" t="str">
        <f>"44.00"</f>
        <v>44.00</v>
      </c>
      <c r="F1540" t="s">
        <v>1449</v>
      </c>
    </row>
    <row r="1541" spans="1:6" x14ac:dyDescent="0.25">
      <c r="A1541" t="str">
        <f>"44.0000"</f>
        <v>44.0000</v>
      </c>
      <c r="B1541" t="s">
        <v>1449</v>
      </c>
      <c r="C1541" t="s">
        <v>7</v>
      </c>
      <c r="D1541" t="s">
        <v>11</v>
      </c>
      <c r="E1541" t="str">
        <f>"44.0000"</f>
        <v>44.0000</v>
      </c>
      <c r="F1541" t="s">
        <v>1449</v>
      </c>
    </row>
    <row r="1542" spans="1:6" x14ac:dyDescent="0.25">
      <c r="A1542" t="str">
        <f>"44.02"</f>
        <v>44.02</v>
      </c>
      <c r="B1542" t="s">
        <v>1450</v>
      </c>
      <c r="C1542" t="s">
        <v>7</v>
      </c>
      <c r="D1542" t="s">
        <v>11</v>
      </c>
      <c r="E1542" t="str">
        <f>"44.02"</f>
        <v>44.02</v>
      </c>
      <c r="F1542" t="s">
        <v>1450</v>
      </c>
    </row>
    <row r="1543" spans="1:6" x14ac:dyDescent="0.25">
      <c r="A1543" t="str">
        <f>"44.0201"</f>
        <v>44.0201</v>
      </c>
      <c r="B1543" t="s">
        <v>1450</v>
      </c>
      <c r="C1543" t="s">
        <v>7</v>
      </c>
      <c r="D1543" t="s">
        <v>8</v>
      </c>
      <c r="E1543" t="str">
        <f>"44.0201"</f>
        <v>44.0201</v>
      </c>
      <c r="F1543" t="s">
        <v>1450</v>
      </c>
    </row>
    <row r="1544" spans="1:6" x14ac:dyDescent="0.25">
      <c r="A1544" t="str">
        <f>"44.04"</f>
        <v>44.04</v>
      </c>
      <c r="B1544" t="s">
        <v>1451</v>
      </c>
      <c r="C1544" t="s">
        <v>7</v>
      </c>
      <c r="D1544" t="s">
        <v>11</v>
      </c>
      <c r="E1544" t="str">
        <f>"44.04"</f>
        <v>44.04</v>
      </c>
      <c r="F1544" t="s">
        <v>1451</v>
      </c>
    </row>
    <row r="1545" spans="1:6" x14ac:dyDescent="0.25">
      <c r="A1545" t="str">
        <f>"44.0401"</f>
        <v>44.0401</v>
      </c>
      <c r="B1545" t="s">
        <v>1451</v>
      </c>
      <c r="C1545" t="s">
        <v>7</v>
      </c>
      <c r="D1545" t="s">
        <v>11</v>
      </c>
      <c r="E1545" t="str">
        <f>"44.0401"</f>
        <v>44.0401</v>
      </c>
      <c r="F1545" t="s">
        <v>1451</v>
      </c>
    </row>
    <row r="1546" spans="1:6" x14ac:dyDescent="0.25">
      <c r="C1546" t="s">
        <v>26</v>
      </c>
      <c r="D1546" t="s">
        <v>11</v>
      </c>
      <c r="E1546" t="str">
        <f>"44.0402"</f>
        <v>44.0402</v>
      </c>
      <c r="F1546" t="s">
        <v>1452</v>
      </c>
    </row>
    <row r="1547" spans="1:6" x14ac:dyDescent="0.25">
      <c r="C1547" t="s">
        <v>26</v>
      </c>
      <c r="D1547" t="s">
        <v>11</v>
      </c>
      <c r="E1547" t="str">
        <f>"44.0403"</f>
        <v>44.0403</v>
      </c>
      <c r="F1547" t="s">
        <v>1453</v>
      </c>
    </row>
    <row r="1548" spans="1:6" x14ac:dyDescent="0.25">
      <c r="C1548" t="s">
        <v>26</v>
      </c>
      <c r="D1548" t="s">
        <v>11</v>
      </c>
      <c r="E1548" t="str">
        <f>"44.0499"</f>
        <v>44.0499</v>
      </c>
      <c r="F1548" t="s">
        <v>1454</v>
      </c>
    </row>
    <row r="1549" spans="1:6" x14ac:dyDescent="0.25">
      <c r="A1549" t="str">
        <f>"44.05"</f>
        <v>44.05</v>
      </c>
      <c r="B1549" t="s">
        <v>1455</v>
      </c>
      <c r="C1549" t="s">
        <v>7</v>
      </c>
      <c r="D1549" t="s">
        <v>11</v>
      </c>
      <c r="E1549" t="str">
        <f>"44.05"</f>
        <v>44.05</v>
      </c>
      <c r="F1549" t="s">
        <v>1455</v>
      </c>
    </row>
    <row r="1550" spans="1:6" x14ac:dyDescent="0.25">
      <c r="A1550" t="str">
        <f>"44.0501"</f>
        <v>44.0501</v>
      </c>
      <c r="B1550" t="s">
        <v>1456</v>
      </c>
      <c r="C1550" t="s">
        <v>7</v>
      </c>
      <c r="D1550" t="s">
        <v>11</v>
      </c>
      <c r="E1550" t="str">
        <f>"44.0501"</f>
        <v>44.0501</v>
      </c>
      <c r="F1550" t="s">
        <v>1456</v>
      </c>
    </row>
    <row r="1551" spans="1:6" x14ac:dyDescent="0.25">
      <c r="A1551" t="str">
        <f>"44.0502"</f>
        <v>44.0502</v>
      </c>
      <c r="B1551" t="s">
        <v>1457</v>
      </c>
      <c r="C1551" t="s">
        <v>7</v>
      </c>
      <c r="D1551" t="s">
        <v>11</v>
      </c>
      <c r="E1551" t="str">
        <f>"44.0502"</f>
        <v>44.0502</v>
      </c>
      <c r="F1551" t="s">
        <v>1457</v>
      </c>
    </row>
    <row r="1552" spans="1:6" x14ac:dyDescent="0.25">
      <c r="A1552" t="str">
        <f>"44.0503"</f>
        <v>44.0503</v>
      </c>
      <c r="B1552" t="s">
        <v>1458</v>
      </c>
      <c r="C1552" t="s">
        <v>7</v>
      </c>
      <c r="D1552" t="s">
        <v>11</v>
      </c>
      <c r="E1552" t="str">
        <f>"44.0503"</f>
        <v>44.0503</v>
      </c>
      <c r="F1552" t="s">
        <v>1458</v>
      </c>
    </row>
    <row r="1553" spans="1:6" x14ac:dyDescent="0.25">
      <c r="A1553" t="str">
        <f>"44.0504"</f>
        <v>44.0504</v>
      </c>
      <c r="B1553" t="s">
        <v>1459</v>
      </c>
      <c r="C1553" t="s">
        <v>7</v>
      </c>
      <c r="D1553" t="s">
        <v>11</v>
      </c>
      <c r="E1553" t="str">
        <f>"44.0504"</f>
        <v>44.0504</v>
      </c>
      <c r="F1553" t="s">
        <v>1459</v>
      </c>
    </row>
    <row r="1554" spans="1:6" x14ac:dyDescent="0.25">
      <c r="C1554" t="s">
        <v>26</v>
      </c>
      <c r="D1554" t="s">
        <v>11</v>
      </c>
      <c r="E1554" t="str">
        <f>"44.0580"</f>
        <v>44.0580</v>
      </c>
      <c r="F1554" t="s">
        <v>42</v>
      </c>
    </row>
    <row r="1555" spans="1:6" x14ac:dyDescent="0.25">
      <c r="A1555" t="str">
        <f>"44.0599"</f>
        <v>44.0599</v>
      </c>
      <c r="B1555" t="s">
        <v>1460</v>
      </c>
      <c r="C1555" t="s">
        <v>7</v>
      </c>
      <c r="D1555" t="s">
        <v>11</v>
      </c>
      <c r="E1555" t="str">
        <f>"44.0599"</f>
        <v>44.0599</v>
      </c>
      <c r="F1555" t="s">
        <v>1460</v>
      </c>
    </row>
    <row r="1556" spans="1:6" x14ac:dyDescent="0.25">
      <c r="A1556" t="str">
        <f>"44.07"</f>
        <v>44.07</v>
      </c>
      <c r="B1556" t="s">
        <v>1461</v>
      </c>
      <c r="C1556" t="s">
        <v>7</v>
      </c>
      <c r="D1556" t="s">
        <v>11</v>
      </c>
      <c r="E1556" t="str">
        <f>"44.07"</f>
        <v>44.07</v>
      </c>
      <c r="F1556" t="s">
        <v>1461</v>
      </c>
    </row>
    <row r="1557" spans="1:6" x14ac:dyDescent="0.25">
      <c r="A1557" t="str">
        <f>"44.0701"</f>
        <v>44.0701</v>
      </c>
      <c r="B1557" t="s">
        <v>1461</v>
      </c>
      <c r="C1557" t="s">
        <v>7</v>
      </c>
      <c r="D1557" t="s">
        <v>11</v>
      </c>
      <c r="E1557" t="str">
        <f>"44.0701"</f>
        <v>44.0701</v>
      </c>
      <c r="F1557" t="s">
        <v>1461</v>
      </c>
    </row>
    <row r="1558" spans="1:6" x14ac:dyDescent="0.25">
      <c r="A1558" t="str">
        <f>"44.0702"</f>
        <v>44.0702</v>
      </c>
      <c r="B1558" t="s">
        <v>1462</v>
      </c>
      <c r="C1558" t="s">
        <v>7</v>
      </c>
      <c r="D1558" t="s">
        <v>11</v>
      </c>
      <c r="E1558" t="str">
        <f>"44.0702"</f>
        <v>44.0702</v>
      </c>
      <c r="F1558" t="s">
        <v>1462</v>
      </c>
    </row>
    <row r="1559" spans="1:6" x14ac:dyDescent="0.25">
      <c r="C1559" t="s">
        <v>26</v>
      </c>
      <c r="D1559" t="s">
        <v>11</v>
      </c>
      <c r="E1559" t="str">
        <f>"44.0703"</f>
        <v>44.0703</v>
      </c>
      <c r="F1559" t="s">
        <v>1463</v>
      </c>
    </row>
    <row r="1560" spans="1:6" x14ac:dyDescent="0.25">
      <c r="A1560" t="str">
        <f>"44.0799"</f>
        <v>44.0799</v>
      </c>
      <c r="B1560" t="s">
        <v>1464</v>
      </c>
      <c r="C1560" t="s">
        <v>7</v>
      </c>
      <c r="D1560" t="s">
        <v>11</v>
      </c>
      <c r="E1560" t="str">
        <f>"44.0799"</f>
        <v>44.0799</v>
      </c>
      <c r="F1560" t="s">
        <v>1464</v>
      </c>
    </row>
    <row r="1561" spans="1:6" x14ac:dyDescent="0.25">
      <c r="A1561" t="str">
        <f>"44.99"</f>
        <v>44.99</v>
      </c>
      <c r="B1561" t="s">
        <v>1465</v>
      </c>
      <c r="C1561" t="s">
        <v>7</v>
      </c>
      <c r="D1561" t="s">
        <v>11</v>
      </c>
      <c r="E1561" t="str">
        <f>"44.99"</f>
        <v>44.99</v>
      </c>
      <c r="F1561" t="s">
        <v>1465</v>
      </c>
    </row>
    <row r="1562" spans="1:6" x14ac:dyDescent="0.25">
      <c r="A1562" t="str">
        <f>"44.9999"</f>
        <v>44.9999</v>
      </c>
      <c r="B1562" t="s">
        <v>1465</v>
      </c>
      <c r="C1562" t="s">
        <v>7</v>
      </c>
      <c r="D1562" t="s">
        <v>11</v>
      </c>
      <c r="E1562" t="str">
        <f>"44.9999"</f>
        <v>44.9999</v>
      </c>
      <c r="F1562" t="s">
        <v>1465</v>
      </c>
    </row>
    <row r="1563" spans="1:6" x14ac:dyDescent="0.25">
      <c r="A1563" t="str">
        <f>"45"</f>
        <v>45</v>
      </c>
      <c r="B1563" t="s">
        <v>1466</v>
      </c>
      <c r="C1563" t="s">
        <v>7</v>
      </c>
      <c r="D1563" t="s">
        <v>11</v>
      </c>
      <c r="E1563" t="str">
        <f>"45"</f>
        <v>45</v>
      </c>
      <c r="F1563" t="s">
        <v>1466</v>
      </c>
    </row>
    <row r="1564" spans="1:6" x14ac:dyDescent="0.25">
      <c r="A1564" t="str">
        <f>"45.01"</f>
        <v>45.01</v>
      </c>
      <c r="B1564" t="s">
        <v>1467</v>
      </c>
      <c r="C1564" t="s">
        <v>7</v>
      </c>
      <c r="D1564" t="s">
        <v>11</v>
      </c>
      <c r="E1564" t="str">
        <f>"45.01"</f>
        <v>45.01</v>
      </c>
      <c r="F1564" t="s">
        <v>1467</v>
      </c>
    </row>
    <row r="1565" spans="1:6" x14ac:dyDescent="0.25">
      <c r="A1565" t="str">
        <f>"45.0101"</f>
        <v>45.0101</v>
      </c>
      <c r="B1565" t="s">
        <v>1467</v>
      </c>
      <c r="C1565" t="s">
        <v>7</v>
      </c>
      <c r="D1565" t="s">
        <v>11</v>
      </c>
      <c r="E1565" t="str">
        <f>"45.0101"</f>
        <v>45.0101</v>
      </c>
      <c r="F1565" t="s">
        <v>1467</v>
      </c>
    </row>
    <row r="1566" spans="1:6" x14ac:dyDescent="0.25">
      <c r="A1566" t="str">
        <f>"45.0102"</f>
        <v>45.0102</v>
      </c>
      <c r="B1566" t="s">
        <v>1468</v>
      </c>
      <c r="C1566" t="s">
        <v>7</v>
      </c>
      <c r="D1566" t="s">
        <v>11</v>
      </c>
      <c r="E1566" t="str">
        <f>"45.0102"</f>
        <v>45.0102</v>
      </c>
      <c r="F1566" t="s">
        <v>1468</v>
      </c>
    </row>
    <row r="1567" spans="1:6" x14ac:dyDescent="0.25">
      <c r="C1567" t="s">
        <v>26</v>
      </c>
      <c r="D1567" t="s">
        <v>11</v>
      </c>
      <c r="E1567" t="str">
        <f>"45.0103"</f>
        <v>45.0103</v>
      </c>
      <c r="F1567" t="s">
        <v>1469</v>
      </c>
    </row>
    <row r="1568" spans="1:6" x14ac:dyDescent="0.25">
      <c r="C1568" t="s">
        <v>26</v>
      </c>
      <c r="D1568" t="s">
        <v>11</v>
      </c>
      <c r="E1568" t="str">
        <f>"45.0199"</f>
        <v>45.0199</v>
      </c>
      <c r="F1568" t="s">
        <v>1470</v>
      </c>
    </row>
    <row r="1569" spans="1:6" x14ac:dyDescent="0.25">
      <c r="A1569" t="str">
        <f>"45.02"</f>
        <v>45.02</v>
      </c>
      <c r="B1569" t="s">
        <v>1471</v>
      </c>
      <c r="C1569" t="s">
        <v>7</v>
      </c>
      <c r="D1569" t="s">
        <v>11</v>
      </c>
      <c r="E1569" t="str">
        <f>"45.02"</f>
        <v>45.02</v>
      </c>
      <c r="F1569" t="s">
        <v>1471</v>
      </c>
    </row>
    <row r="1570" spans="1:6" x14ac:dyDescent="0.25">
      <c r="A1570" t="str">
        <f>"45.0201"</f>
        <v>45.0201</v>
      </c>
      <c r="B1570" t="s">
        <v>1471</v>
      </c>
      <c r="C1570" t="s">
        <v>7</v>
      </c>
      <c r="D1570" t="s">
        <v>8</v>
      </c>
      <c r="E1570" t="str">
        <f>"45.0201"</f>
        <v>45.0201</v>
      </c>
      <c r="F1570" t="s">
        <v>1472</v>
      </c>
    </row>
    <row r="1571" spans="1:6" x14ac:dyDescent="0.25">
      <c r="A1571" t="str">
        <f>"45.0202"</f>
        <v>45.0202</v>
      </c>
      <c r="B1571" t="s">
        <v>1473</v>
      </c>
      <c r="C1571" t="s">
        <v>7</v>
      </c>
      <c r="D1571" t="s">
        <v>11</v>
      </c>
      <c r="E1571" t="str">
        <f>"45.0202"</f>
        <v>45.0202</v>
      </c>
      <c r="F1571" t="s">
        <v>1473</v>
      </c>
    </row>
    <row r="1572" spans="1:6" x14ac:dyDescent="0.25">
      <c r="A1572" t="str">
        <f>"45.0203"</f>
        <v>45.0203</v>
      </c>
      <c r="B1572" t="s">
        <v>1474</v>
      </c>
      <c r="C1572" t="s">
        <v>7</v>
      </c>
      <c r="D1572" t="s">
        <v>11</v>
      </c>
      <c r="E1572" t="str">
        <f>"45.0203"</f>
        <v>45.0203</v>
      </c>
      <c r="F1572" t="s">
        <v>1474</v>
      </c>
    </row>
    <row r="1573" spans="1:6" x14ac:dyDescent="0.25">
      <c r="A1573" t="str">
        <f>"45.0204"</f>
        <v>45.0204</v>
      </c>
      <c r="B1573" t="s">
        <v>1475</v>
      </c>
      <c r="C1573" t="s">
        <v>7</v>
      </c>
      <c r="D1573" t="s">
        <v>11</v>
      </c>
      <c r="E1573" t="str">
        <f>"45.0204"</f>
        <v>45.0204</v>
      </c>
      <c r="F1573" t="s">
        <v>1475</v>
      </c>
    </row>
    <row r="1574" spans="1:6" x14ac:dyDescent="0.25">
      <c r="C1574" t="s">
        <v>26</v>
      </c>
      <c r="D1574" t="s">
        <v>11</v>
      </c>
      <c r="E1574" t="str">
        <f>"45.0205"</f>
        <v>45.0205</v>
      </c>
      <c r="F1574" t="s">
        <v>1476</v>
      </c>
    </row>
    <row r="1575" spans="1:6" x14ac:dyDescent="0.25">
      <c r="A1575" t="str">
        <f>"45.0299"</f>
        <v>45.0299</v>
      </c>
      <c r="B1575" t="s">
        <v>1477</v>
      </c>
      <c r="C1575" t="s">
        <v>7</v>
      </c>
      <c r="D1575" t="s">
        <v>11</v>
      </c>
      <c r="E1575" t="str">
        <f>"45.0299"</f>
        <v>45.0299</v>
      </c>
      <c r="F1575" t="s">
        <v>1477</v>
      </c>
    </row>
    <row r="1576" spans="1:6" x14ac:dyDescent="0.25">
      <c r="A1576" t="str">
        <f>"45.03"</f>
        <v>45.03</v>
      </c>
      <c r="B1576" t="s">
        <v>1478</v>
      </c>
      <c r="C1576" t="s">
        <v>7</v>
      </c>
      <c r="D1576" t="s">
        <v>11</v>
      </c>
      <c r="E1576" t="str">
        <f>"45.03"</f>
        <v>45.03</v>
      </c>
      <c r="F1576" t="s">
        <v>1478</v>
      </c>
    </row>
    <row r="1577" spans="1:6" x14ac:dyDescent="0.25">
      <c r="A1577" t="str">
        <f>"45.0301"</f>
        <v>45.0301</v>
      </c>
      <c r="B1577" t="s">
        <v>1478</v>
      </c>
      <c r="C1577" t="s">
        <v>7</v>
      </c>
      <c r="D1577" t="s">
        <v>11</v>
      </c>
      <c r="E1577" t="str">
        <f>"45.0301"</f>
        <v>45.0301</v>
      </c>
      <c r="F1577" t="s">
        <v>1478</v>
      </c>
    </row>
    <row r="1578" spans="1:6" x14ac:dyDescent="0.25">
      <c r="A1578" t="str">
        <f>"45.04"</f>
        <v>45.04</v>
      </c>
      <c r="B1578" t="s">
        <v>1479</v>
      </c>
      <c r="C1578" t="s">
        <v>7</v>
      </c>
      <c r="D1578" t="s">
        <v>11</v>
      </c>
      <c r="E1578" t="str">
        <f>"45.04"</f>
        <v>45.04</v>
      </c>
      <c r="F1578" t="s">
        <v>1479</v>
      </c>
    </row>
    <row r="1579" spans="1:6" x14ac:dyDescent="0.25">
      <c r="A1579" t="str">
        <f>"45.0401"</f>
        <v>45.0401</v>
      </c>
      <c r="B1579" t="s">
        <v>1479</v>
      </c>
      <c r="C1579" t="s">
        <v>7</v>
      </c>
      <c r="D1579" t="s">
        <v>11</v>
      </c>
      <c r="E1579" t="str">
        <f>"45.0401"</f>
        <v>45.0401</v>
      </c>
      <c r="F1579" t="s">
        <v>1479</v>
      </c>
    </row>
    <row r="1580" spans="1:6" x14ac:dyDescent="0.25">
      <c r="A1580" t="str">
        <f>"45.05"</f>
        <v>45.05</v>
      </c>
      <c r="B1580" t="s">
        <v>1480</v>
      </c>
      <c r="C1580" t="s">
        <v>7</v>
      </c>
      <c r="D1580" t="s">
        <v>8</v>
      </c>
      <c r="E1580" t="str">
        <f>"45.05"</f>
        <v>45.05</v>
      </c>
      <c r="F1580" t="s">
        <v>1481</v>
      </c>
    </row>
    <row r="1581" spans="1:6" x14ac:dyDescent="0.25">
      <c r="A1581" t="str">
        <f>"45.0501"</f>
        <v>45.0501</v>
      </c>
      <c r="B1581" t="s">
        <v>1480</v>
      </c>
      <c r="C1581" t="s">
        <v>7</v>
      </c>
      <c r="D1581" t="s">
        <v>11</v>
      </c>
      <c r="E1581" t="str">
        <f>"45.0501"</f>
        <v>45.0501</v>
      </c>
      <c r="F1581" t="s">
        <v>1480</v>
      </c>
    </row>
    <row r="1582" spans="1:6" x14ac:dyDescent="0.25">
      <c r="C1582" t="s">
        <v>26</v>
      </c>
      <c r="D1582" t="s">
        <v>11</v>
      </c>
      <c r="E1582" t="str">
        <f>"45.0502"</f>
        <v>45.0502</v>
      </c>
      <c r="F1582" t="s">
        <v>1482</v>
      </c>
    </row>
    <row r="1583" spans="1:6" x14ac:dyDescent="0.25">
      <c r="C1583" t="s">
        <v>26</v>
      </c>
      <c r="D1583" t="s">
        <v>11</v>
      </c>
      <c r="E1583" t="str">
        <f>"45.0599"</f>
        <v>45.0599</v>
      </c>
      <c r="F1583" t="s">
        <v>1483</v>
      </c>
    </row>
    <row r="1584" spans="1:6" x14ac:dyDescent="0.25">
      <c r="A1584" t="str">
        <f>"45.06"</f>
        <v>45.06</v>
      </c>
      <c r="B1584" t="s">
        <v>1484</v>
      </c>
      <c r="C1584" t="s">
        <v>7</v>
      </c>
      <c r="D1584" t="s">
        <v>11</v>
      </c>
      <c r="E1584" t="str">
        <f>"45.06"</f>
        <v>45.06</v>
      </c>
      <c r="F1584" t="s">
        <v>1484</v>
      </c>
    </row>
    <row r="1585" spans="1:6" x14ac:dyDescent="0.25">
      <c r="A1585" t="str">
        <f>"45.0601"</f>
        <v>45.0601</v>
      </c>
      <c r="B1585" t="s">
        <v>1485</v>
      </c>
      <c r="C1585" t="s">
        <v>7</v>
      </c>
      <c r="D1585" t="s">
        <v>11</v>
      </c>
      <c r="E1585" t="str">
        <f>"45.0601"</f>
        <v>45.0601</v>
      </c>
      <c r="F1585" t="s">
        <v>1485</v>
      </c>
    </row>
    <row r="1586" spans="1:6" x14ac:dyDescent="0.25">
      <c r="A1586" t="str">
        <f>"45.0602"</f>
        <v>45.0602</v>
      </c>
      <c r="B1586" t="s">
        <v>1486</v>
      </c>
      <c r="C1586" t="s">
        <v>7</v>
      </c>
      <c r="D1586" t="s">
        <v>11</v>
      </c>
      <c r="E1586" t="str">
        <f>"45.0602"</f>
        <v>45.0602</v>
      </c>
      <c r="F1586" t="s">
        <v>1486</v>
      </c>
    </row>
    <row r="1587" spans="1:6" x14ac:dyDescent="0.25">
      <c r="A1587" t="str">
        <f>"45.0603"</f>
        <v>45.0603</v>
      </c>
      <c r="B1587" t="s">
        <v>1487</v>
      </c>
      <c r="C1587" t="s">
        <v>7</v>
      </c>
      <c r="D1587" t="s">
        <v>11</v>
      </c>
      <c r="E1587" t="str">
        <f>"45.0603"</f>
        <v>45.0603</v>
      </c>
      <c r="F1587" t="s">
        <v>1487</v>
      </c>
    </row>
    <row r="1588" spans="1:6" x14ac:dyDescent="0.25">
      <c r="A1588" t="str">
        <f>"45.0604"</f>
        <v>45.0604</v>
      </c>
      <c r="B1588" t="s">
        <v>1488</v>
      </c>
      <c r="C1588" t="s">
        <v>7</v>
      </c>
      <c r="D1588" t="s">
        <v>11</v>
      </c>
      <c r="E1588" t="str">
        <f>"45.0604"</f>
        <v>45.0604</v>
      </c>
      <c r="F1588" t="s">
        <v>1488</v>
      </c>
    </row>
    <row r="1589" spans="1:6" x14ac:dyDescent="0.25">
      <c r="A1589" t="str">
        <f>"45.0605"</f>
        <v>45.0605</v>
      </c>
      <c r="B1589" t="s">
        <v>1489</v>
      </c>
      <c r="C1589" t="s">
        <v>7</v>
      </c>
      <c r="D1589" t="s">
        <v>11</v>
      </c>
      <c r="E1589" t="str">
        <f>"45.0605"</f>
        <v>45.0605</v>
      </c>
      <c r="F1589" t="s">
        <v>1489</v>
      </c>
    </row>
    <row r="1590" spans="1:6" x14ac:dyDescent="0.25">
      <c r="A1590" t="str">
        <f>"45.0699"</f>
        <v>45.0699</v>
      </c>
      <c r="B1590" t="s">
        <v>1490</v>
      </c>
      <c r="C1590" t="s">
        <v>7</v>
      </c>
      <c r="D1590" t="s">
        <v>11</v>
      </c>
      <c r="E1590" t="str">
        <f>"45.0699"</f>
        <v>45.0699</v>
      </c>
      <c r="F1590" t="s">
        <v>1490</v>
      </c>
    </row>
    <row r="1591" spans="1:6" x14ac:dyDescent="0.25">
      <c r="A1591" t="str">
        <f>"45.07"</f>
        <v>45.07</v>
      </c>
      <c r="B1591" t="s">
        <v>1491</v>
      </c>
      <c r="C1591" t="s">
        <v>7</v>
      </c>
      <c r="D1591" t="s">
        <v>11</v>
      </c>
      <c r="E1591" t="str">
        <f>"45.07"</f>
        <v>45.07</v>
      </c>
      <c r="F1591" t="s">
        <v>1491</v>
      </c>
    </row>
    <row r="1592" spans="1:6" x14ac:dyDescent="0.25">
      <c r="A1592" t="str">
        <f>"45.0701"</f>
        <v>45.0701</v>
      </c>
      <c r="B1592" t="s">
        <v>1492</v>
      </c>
      <c r="C1592" t="s">
        <v>7</v>
      </c>
      <c r="D1592" t="s">
        <v>11</v>
      </c>
      <c r="E1592" t="str">
        <f>"45.0701"</f>
        <v>45.0701</v>
      </c>
      <c r="F1592" t="s">
        <v>1492</v>
      </c>
    </row>
    <row r="1593" spans="1:6" x14ac:dyDescent="0.25">
      <c r="A1593" t="str">
        <f>"45.0702"</f>
        <v>45.0702</v>
      </c>
      <c r="B1593" t="s">
        <v>1493</v>
      </c>
      <c r="C1593" t="s">
        <v>7</v>
      </c>
      <c r="D1593" t="s">
        <v>11</v>
      </c>
      <c r="E1593" t="str">
        <f>"45.0702"</f>
        <v>45.0702</v>
      </c>
      <c r="F1593" t="s">
        <v>1493</v>
      </c>
    </row>
    <row r="1594" spans="1:6" x14ac:dyDescent="0.25">
      <c r="A1594" t="str">
        <f>"45.0799"</f>
        <v>45.0799</v>
      </c>
      <c r="B1594" t="s">
        <v>1494</v>
      </c>
      <c r="C1594" t="s">
        <v>7</v>
      </c>
      <c r="D1594" t="s">
        <v>11</v>
      </c>
      <c r="E1594" t="str">
        <f>"45.0799"</f>
        <v>45.0799</v>
      </c>
      <c r="F1594" t="s">
        <v>1494</v>
      </c>
    </row>
    <row r="1595" spans="1:6" x14ac:dyDescent="0.25">
      <c r="A1595" t="str">
        <f>"45.09"</f>
        <v>45.09</v>
      </c>
      <c r="B1595" t="s">
        <v>1495</v>
      </c>
      <c r="C1595" t="s">
        <v>7</v>
      </c>
      <c r="D1595" t="s">
        <v>11</v>
      </c>
      <c r="E1595" t="str">
        <f>"45.09"</f>
        <v>45.09</v>
      </c>
      <c r="F1595" t="s">
        <v>1495</v>
      </c>
    </row>
    <row r="1596" spans="1:6" x14ac:dyDescent="0.25">
      <c r="A1596" t="str">
        <f>"45.0901"</f>
        <v>45.0901</v>
      </c>
      <c r="B1596" t="s">
        <v>1496</v>
      </c>
      <c r="C1596" t="s">
        <v>7</v>
      </c>
      <c r="D1596" t="s">
        <v>11</v>
      </c>
      <c r="E1596" t="str">
        <f>"45.0901"</f>
        <v>45.0901</v>
      </c>
      <c r="F1596" t="s">
        <v>1496</v>
      </c>
    </row>
    <row r="1597" spans="1:6" x14ac:dyDescent="0.25">
      <c r="A1597" t="str">
        <f>"45.0902"</f>
        <v>45.0902</v>
      </c>
      <c r="B1597" t="s">
        <v>1497</v>
      </c>
      <c r="C1597" t="s">
        <v>7</v>
      </c>
      <c r="D1597" t="s">
        <v>11</v>
      </c>
      <c r="E1597" t="str">
        <f>"45.0902"</f>
        <v>45.0902</v>
      </c>
      <c r="F1597" t="s">
        <v>1497</v>
      </c>
    </row>
    <row r="1598" spans="1:6" x14ac:dyDescent="0.25">
      <c r="A1598" t="str">
        <f>"45.0999"</f>
        <v>45.0999</v>
      </c>
      <c r="B1598" t="s">
        <v>1498</v>
      </c>
      <c r="C1598" t="s">
        <v>7</v>
      </c>
      <c r="D1598" t="s">
        <v>11</v>
      </c>
      <c r="E1598" t="str">
        <f>"45.0999"</f>
        <v>45.0999</v>
      </c>
      <c r="F1598" t="s">
        <v>1498</v>
      </c>
    </row>
    <row r="1599" spans="1:6" x14ac:dyDescent="0.25">
      <c r="A1599" t="str">
        <f>"45.10"</f>
        <v>45.10</v>
      </c>
      <c r="B1599" t="s">
        <v>1499</v>
      </c>
      <c r="C1599" t="s">
        <v>7</v>
      </c>
      <c r="D1599" t="s">
        <v>11</v>
      </c>
      <c r="E1599" t="str">
        <f>"45.10"</f>
        <v>45.10</v>
      </c>
      <c r="F1599" t="s">
        <v>1499</v>
      </c>
    </row>
    <row r="1600" spans="1:6" x14ac:dyDescent="0.25">
      <c r="A1600" t="str">
        <f>"45.1001"</f>
        <v>45.1001</v>
      </c>
      <c r="B1600" t="s">
        <v>1500</v>
      </c>
      <c r="C1600" t="s">
        <v>7</v>
      </c>
      <c r="D1600" t="s">
        <v>11</v>
      </c>
      <c r="E1600" t="str">
        <f>"45.1001"</f>
        <v>45.1001</v>
      </c>
      <c r="F1600" t="s">
        <v>1500</v>
      </c>
    </row>
    <row r="1601" spans="1:6" x14ac:dyDescent="0.25">
      <c r="A1601" t="str">
        <f>"45.1002"</f>
        <v>45.1002</v>
      </c>
      <c r="B1601" t="s">
        <v>1501</v>
      </c>
      <c r="C1601" t="s">
        <v>7</v>
      </c>
      <c r="D1601" t="s">
        <v>11</v>
      </c>
      <c r="E1601" t="str">
        <f>"45.1002"</f>
        <v>45.1002</v>
      </c>
      <c r="F1601" t="s">
        <v>1501</v>
      </c>
    </row>
    <row r="1602" spans="1:6" x14ac:dyDescent="0.25">
      <c r="A1602" t="str">
        <f>"45.1003"</f>
        <v>45.1003</v>
      </c>
      <c r="B1602" t="s">
        <v>1502</v>
      </c>
      <c r="C1602" t="s">
        <v>7</v>
      </c>
      <c r="D1602" t="s">
        <v>11</v>
      </c>
      <c r="E1602" t="str">
        <f>"45.1003"</f>
        <v>45.1003</v>
      </c>
      <c r="F1602" t="s">
        <v>1502</v>
      </c>
    </row>
    <row r="1603" spans="1:6" x14ac:dyDescent="0.25">
      <c r="A1603" t="str">
        <f>"45.1004"</f>
        <v>45.1004</v>
      </c>
      <c r="B1603" t="s">
        <v>1503</v>
      </c>
      <c r="C1603" t="s">
        <v>7</v>
      </c>
      <c r="D1603" t="s">
        <v>11</v>
      </c>
      <c r="E1603" t="str">
        <f>"45.1004"</f>
        <v>45.1004</v>
      </c>
      <c r="F1603" t="s">
        <v>1503</v>
      </c>
    </row>
    <row r="1604" spans="1:6" x14ac:dyDescent="0.25">
      <c r="A1604" t="str">
        <f>"45.1099"</f>
        <v>45.1099</v>
      </c>
      <c r="B1604" t="s">
        <v>1504</v>
      </c>
      <c r="C1604" t="s">
        <v>7</v>
      </c>
      <c r="D1604" t="s">
        <v>11</v>
      </c>
      <c r="E1604" t="str">
        <f>"45.1099"</f>
        <v>45.1099</v>
      </c>
      <c r="F1604" t="s">
        <v>1504</v>
      </c>
    </row>
    <row r="1605" spans="1:6" x14ac:dyDescent="0.25">
      <c r="A1605" t="str">
        <f>"45.11"</f>
        <v>45.11</v>
      </c>
      <c r="B1605" t="s">
        <v>1505</v>
      </c>
      <c r="C1605" t="s">
        <v>7</v>
      </c>
      <c r="D1605" t="s">
        <v>11</v>
      </c>
      <c r="E1605" t="str">
        <f>"45.11"</f>
        <v>45.11</v>
      </c>
      <c r="F1605" t="s">
        <v>1505</v>
      </c>
    </row>
    <row r="1606" spans="1:6" x14ac:dyDescent="0.25">
      <c r="A1606" t="str">
        <f>"45.1101"</f>
        <v>45.1101</v>
      </c>
      <c r="B1606" t="s">
        <v>1505</v>
      </c>
      <c r="C1606" t="s">
        <v>7</v>
      </c>
      <c r="D1606" t="s">
        <v>8</v>
      </c>
      <c r="E1606" t="str">
        <f>"45.1101"</f>
        <v>45.1101</v>
      </c>
      <c r="F1606" t="s">
        <v>1506</v>
      </c>
    </row>
    <row r="1607" spans="1:6" x14ac:dyDescent="0.25">
      <c r="C1607" t="s">
        <v>26</v>
      </c>
      <c r="D1607" t="s">
        <v>11</v>
      </c>
      <c r="E1607" t="str">
        <f>"45.1102"</f>
        <v>45.1102</v>
      </c>
      <c r="F1607" t="s">
        <v>1507</v>
      </c>
    </row>
    <row r="1608" spans="1:6" x14ac:dyDescent="0.25">
      <c r="C1608" t="s">
        <v>26</v>
      </c>
      <c r="D1608" t="s">
        <v>11</v>
      </c>
      <c r="E1608" t="str">
        <f>"45.1199"</f>
        <v>45.1199</v>
      </c>
      <c r="F1608" t="s">
        <v>1508</v>
      </c>
    </row>
    <row r="1609" spans="1:6" x14ac:dyDescent="0.25">
      <c r="A1609" t="str">
        <f>"45.12"</f>
        <v>45.12</v>
      </c>
      <c r="B1609" t="s">
        <v>1509</v>
      </c>
      <c r="C1609" t="s">
        <v>7</v>
      </c>
      <c r="D1609" t="s">
        <v>11</v>
      </c>
      <c r="E1609" t="str">
        <f>"45.12"</f>
        <v>45.12</v>
      </c>
      <c r="F1609" t="s">
        <v>1509</v>
      </c>
    </row>
    <row r="1610" spans="1:6" x14ac:dyDescent="0.25">
      <c r="A1610" t="str">
        <f>"45.1201"</f>
        <v>45.1201</v>
      </c>
      <c r="B1610" t="s">
        <v>1509</v>
      </c>
      <c r="C1610" t="s">
        <v>7</v>
      </c>
      <c r="D1610" t="s">
        <v>11</v>
      </c>
      <c r="E1610" t="str">
        <f>"45.1201"</f>
        <v>45.1201</v>
      </c>
      <c r="F1610" t="s">
        <v>1509</v>
      </c>
    </row>
    <row r="1611" spans="1:6" x14ac:dyDescent="0.25">
      <c r="A1611" t="str">
        <f>"45.13"</f>
        <v>45.13</v>
      </c>
      <c r="B1611" t="s">
        <v>1510</v>
      </c>
      <c r="C1611" t="s">
        <v>7</v>
      </c>
      <c r="D1611" t="s">
        <v>11</v>
      </c>
      <c r="E1611" t="str">
        <f>"45.13"</f>
        <v>45.13</v>
      </c>
      <c r="F1611" t="s">
        <v>1510</v>
      </c>
    </row>
    <row r="1612" spans="1:6" x14ac:dyDescent="0.25">
      <c r="A1612" t="str">
        <f>"45.1301"</f>
        <v>45.1301</v>
      </c>
      <c r="B1612" t="s">
        <v>1510</v>
      </c>
      <c r="C1612" t="s">
        <v>7</v>
      </c>
      <c r="D1612" t="s">
        <v>11</v>
      </c>
      <c r="E1612" t="str">
        <f>"45.1301"</f>
        <v>45.1301</v>
      </c>
      <c r="F1612" t="s">
        <v>1510</v>
      </c>
    </row>
    <row r="1613" spans="1:6" x14ac:dyDescent="0.25">
      <c r="A1613" t="str">
        <f>"45.14"</f>
        <v>45.14</v>
      </c>
      <c r="B1613" t="s">
        <v>1511</v>
      </c>
      <c r="C1613" t="s">
        <v>1512</v>
      </c>
      <c r="D1613" t="s">
        <v>11</v>
      </c>
      <c r="E1613" t="str">
        <f>"45.14"</f>
        <v>45.14</v>
      </c>
      <c r="F1613" t="s">
        <v>1513</v>
      </c>
    </row>
    <row r="1614" spans="1:6" x14ac:dyDescent="0.25">
      <c r="A1614" t="str">
        <f>"45.1401"</f>
        <v>45.1401</v>
      </c>
      <c r="B1614" t="s">
        <v>1511</v>
      </c>
      <c r="C1614" t="s">
        <v>38</v>
      </c>
      <c r="D1614" t="s">
        <v>11</v>
      </c>
      <c r="E1614" t="str">
        <f>"45.1103"</f>
        <v>45.1103</v>
      </c>
      <c r="F1614" t="s">
        <v>1511</v>
      </c>
    </row>
    <row r="1615" spans="1:6" x14ac:dyDescent="0.25">
      <c r="C1615" t="s">
        <v>26</v>
      </c>
      <c r="D1615" t="s">
        <v>11</v>
      </c>
      <c r="E1615" t="str">
        <f>"45.15"</f>
        <v>45.15</v>
      </c>
      <c r="F1615" t="s">
        <v>1514</v>
      </c>
    </row>
    <row r="1616" spans="1:6" x14ac:dyDescent="0.25">
      <c r="C1616" t="s">
        <v>26</v>
      </c>
      <c r="D1616" t="s">
        <v>11</v>
      </c>
      <c r="E1616" t="str">
        <f>"45.1501"</f>
        <v>45.1501</v>
      </c>
      <c r="F1616" t="s">
        <v>1514</v>
      </c>
    </row>
    <row r="1617" spans="1:6" x14ac:dyDescent="0.25">
      <c r="A1617" t="str">
        <f>"45.99"</f>
        <v>45.99</v>
      </c>
      <c r="B1617" t="s">
        <v>1470</v>
      </c>
      <c r="C1617" t="s">
        <v>7</v>
      </c>
      <c r="D1617" t="s">
        <v>11</v>
      </c>
      <c r="E1617" t="str">
        <f>"45.99"</f>
        <v>45.99</v>
      </c>
      <c r="F1617" t="s">
        <v>1470</v>
      </c>
    </row>
    <row r="1618" spans="1:6" x14ac:dyDescent="0.25">
      <c r="A1618" t="str">
        <f>"45.9999"</f>
        <v>45.9999</v>
      </c>
      <c r="B1618" t="s">
        <v>1470</v>
      </c>
      <c r="C1618" t="s">
        <v>7</v>
      </c>
      <c r="D1618" t="s">
        <v>11</v>
      </c>
      <c r="E1618" t="str">
        <f>"45.9999"</f>
        <v>45.9999</v>
      </c>
      <c r="F1618" t="s">
        <v>1470</v>
      </c>
    </row>
    <row r="1619" spans="1:6" x14ac:dyDescent="0.25">
      <c r="A1619" t="str">
        <f>"46"</f>
        <v>46</v>
      </c>
      <c r="B1619" t="s">
        <v>1515</v>
      </c>
      <c r="C1619" t="s">
        <v>7</v>
      </c>
      <c r="D1619" t="s">
        <v>11</v>
      </c>
      <c r="E1619" t="str">
        <f>"46"</f>
        <v>46</v>
      </c>
      <c r="F1619" t="s">
        <v>1515</v>
      </c>
    </row>
    <row r="1620" spans="1:6" x14ac:dyDescent="0.25">
      <c r="A1620" t="str">
        <f>"46.00"</f>
        <v>46.00</v>
      </c>
      <c r="B1620" t="s">
        <v>1516</v>
      </c>
      <c r="C1620" t="s">
        <v>7</v>
      </c>
      <c r="D1620" t="s">
        <v>11</v>
      </c>
      <c r="E1620" t="str">
        <f>"46.00"</f>
        <v>46.00</v>
      </c>
      <c r="F1620" t="s">
        <v>1516</v>
      </c>
    </row>
    <row r="1621" spans="1:6" x14ac:dyDescent="0.25">
      <c r="A1621" t="str">
        <f>"46.0000"</f>
        <v>46.0000</v>
      </c>
      <c r="B1621" t="s">
        <v>1516</v>
      </c>
      <c r="C1621" t="s">
        <v>7</v>
      </c>
      <c r="D1621" t="s">
        <v>11</v>
      </c>
      <c r="E1621" t="str">
        <f>"46.0000"</f>
        <v>46.0000</v>
      </c>
      <c r="F1621" t="s">
        <v>1516</v>
      </c>
    </row>
    <row r="1622" spans="1:6" x14ac:dyDescent="0.25">
      <c r="A1622" t="str">
        <f>"46.01"</f>
        <v>46.01</v>
      </c>
      <c r="B1622" t="s">
        <v>1517</v>
      </c>
      <c r="C1622" t="s">
        <v>7</v>
      </c>
      <c r="D1622" t="s">
        <v>11</v>
      </c>
      <c r="E1622" t="str">
        <f>"46.01"</f>
        <v>46.01</v>
      </c>
      <c r="F1622" t="s">
        <v>1517</v>
      </c>
    </row>
    <row r="1623" spans="1:6" x14ac:dyDescent="0.25">
      <c r="A1623" t="str">
        <f>"46.0101"</f>
        <v>46.0101</v>
      </c>
      <c r="B1623" t="s">
        <v>1517</v>
      </c>
      <c r="C1623" t="s">
        <v>7</v>
      </c>
      <c r="D1623" t="s">
        <v>11</v>
      </c>
      <c r="E1623" t="str">
        <f>"46.0101"</f>
        <v>46.0101</v>
      </c>
      <c r="F1623" t="s">
        <v>1517</v>
      </c>
    </row>
    <row r="1624" spans="1:6" x14ac:dyDescent="0.25">
      <c r="A1624" t="str">
        <f>"46.02"</f>
        <v>46.02</v>
      </c>
      <c r="B1624" t="s">
        <v>1518</v>
      </c>
      <c r="C1624" t="s">
        <v>7</v>
      </c>
      <c r="D1624" t="s">
        <v>11</v>
      </c>
      <c r="E1624" t="str">
        <f>"46.02"</f>
        <v>46.02</v>
      </c>
      <c r="F1624" t="s">
        <v>1518</v>
      </c>
    </row>
    <row r="1625" spans="1:6" x14ac:dyDescent="0.25">
      <c r="A1625" t="str">
        <f>"46.0201"</f>
        <v>46.0201</v>
      </c>
      <c r="B1625" t="s">
        <v>1519</v>
      </c>
      <c r="C1625" t="s">
        <v>7</v>
      </c>
      <c r="D1625" t="s">
        <v>11</v>
      </c>
      <c r="E1625" t="str">
        <f>"46.0201"</f>
        <v>46.0201</v>
      </c>
      <c r="F1625" t="s">
        <v>1519</v>
      </c>
    </row>
    <row r="1626" spans="1:6" x14ac:dyDescent="0.25">
      <c r="A1626" t="str">
        <f>"46.03"</f>
        <v>46.03</v>
      </c>
      <c r="B1626" t="s">
        <v>1520</v>
      </c>
      <c r="C1626" t="s">
        <v>7</v>
      </c>
      <c r="D1626" t="s">
        <v>11</v>
      </c>
      <c r="E1626" t="str">
        <f>"46.03"</f>
        <v>46.03</v>
      </c>
      <c r="F1626" t="s">
        <v>1520</v>
      </c>
    </row>
    <row r="1627" spans="1:6" x14ac:dyDescent="0.25">
      <c r="A1627" t="str">
        <f>"46.0301"</f>
        <v>46.0301</v>
      </c>
      <c r="B1627" t="s">
        <v>1521</v>
      </c>
      <c r="C1627" t="s">
        <v>7</v>
      </c>
      <c r="D1627" t="s">
        <v>11</v>
      </c>
      <c r="E1627" t="str">
        <f>"46.0301"</f>
        <v>46.0301</v>
      </c>
      <c r="F1627" t="s">
        <v>1521</v>
      </c>
    </row>
    <row r="1628" spans="1:6" x14ac:dyDescent="0.25">
      <c r="A1628" t="str">
        <f>"46.0302"</f>
        <v>46.0302</v>
      </c>
      <c r="B1628" t="s">
        <v>1522</v>
      </c>
      <c r="C1628" t="s">
        <v>7</v>
      </c>
      <c r="D1628" t="s">
        <v>11</v>
      </c>
      <c r="E1628" t="str">
        <f>"46.0302"</f>
        <v>46.0302</v>
      </c>
      <c r="F1628" t="s">
        <v>1522</v>
      </c>
    </row>
    <row r="1629" spans="1:6" x14ac:dyDescent="0.25">
      <c r="A1629" t="str">
        <f>"46.0303"</f>
        <v>46.0303</v>
      </c>
      <c r="B1629" t="s">
        <v>1523</v>
      </c>
      <c r="C1629" t="s">
        <v>7</v>
      </c>
      <c r="D1629" t="s">
        <v>11</v>
      </c>
      <c r="E1629" t="str">
        <f>"46.0303"</f>
        <v>46.0303</v>
      </c>
      <c r="F1629" t="s">
        <v>1523</v>
      </c>
    </row>
    <row r="1630" spans="1:6" x14ac:dyDescent="0.25">
      <c r="A1630" t="str">
        <f>"46.0399"</f>
        <v>46.0399</v>
      </c>
      <c r="B1630" t="s">
        <v>1524</v>
      </c>
      <c r="C1630" t="s">
        <v>7</v>
      </c>
      <c r="D1630" t="s">
        <v>11</v>
      </c>
      <c r="E1630" t="str">
        <f>"46.0399"</f>
        <v>46.0399</v>
      </c>
      <c r="F1630" t="s">
        <v>1524</v>
      </c>
    </row>
    <row r="1631" spans="1:6" x14ac:dyDescent="0.25">
      <c r="A1631" t="str">
        <f>"46.04"</f>
        <v>46.04</v>
      </c>
      <c r="B1631" t="s">
        <v>1525</v>
      </c>
      <c r="C1631" t="s">
        <v>7</v>
      </c>
      <c r="D1631" t="s">
        <v>11</v>
      </c>
      <c r="E1631" t="str">
        <f>"46.04"</f>
        <v>46.04</v>
      </c>
      <c r="F1631" t="s">
        <v>1525</v>
      </c>
    </row>
    <row r="1632" spans="1:6" x14ac:dyDescent="0.25">
      <c r="A1632" t="str">
        <f>"46.0401"</f>
        <v>46.0401</v>
      </c>
      <c r="B1632" t="s">
        <v>1526</v>
      </c>
      <c r="C1632" t="s">
        <v>7</v>
      </c>
      <c r="D1632" t="s">
        <v>11</v>
      </c>
      <c r="E1632" t="str">
        <f>"46.0401"</f>
        <v>46.0401</v>
      </c>
      <c r="F1632" t="s">
        <v>1526</v>
      </c>
    </row>
    <row r="1633" spans="1:6" x14ac:dyDescent="0.25">
      <c r="A1633" t="str">
        <f>"46.0402"</f>
        <v>46.0402</v>
      </c>
      <c r="B1633" t="s">
        <v>1527</v>
      </c>
      <c r="C1633" t="s">
        <v>7</v>
      </c>
      <c r="D1633" t="s">
        <v>11</v>
      </c>
      <c r="E1633" t="str">
        <f>"46.0402"</f>
        <v>46.0402</v>
      </c>
      <c r="F1633" t="s">
        <v>1527</v>
      </c>
    </row>
    <row r="1634" spans="1:6" x14ac:dyDescent="0.25">
      <c r="A1634" t="str">
        <f>"46.0403"</f>
        <v>46.0403</v>
      </c>
      <c r="B1634" t="s">
        <v>1528</v>
      </c>
      <c r="C1634" t="s">
        <v>7</v>
      </c>
      <c r="D1634" t="s">
        <v>11</v>
      </c>
      <c r="E1634" t="str">
        <f>"46.0403"</f>
        <v>46.0403</v>
      </c>
      <c r="F1634" t="s">
        <v>1528</v>
      </c>
    </row>
    <row r="1635" spans="1:6" x14ac:dyDescent="0.25">
      <c r="A1635" t="str">
        <f>"46.0404"</f>
        <v>46.0404</v>
      </c>
      <c r="B1635" t="s">
        <v>1529</v>
      </c>
      <c r="C1635" t="s">
        <v>7</v>
      </c>
      <c r="D1635" t="s">
        <v>11</v>
      </c>
      <c r="E1635" t="str">
        <f>"46.0404"</f>
        <v>46.0404</v>
      </c>
      <c r="F1635" t="s">
        <v>1529</v>
      </c>
    </row>
    <row r="1636" spans="1:6" x14ac:dyDescent="0.25">
      <c r="A1636" t="str">
        <f>"46.0406"</f>
        <v>46.0406</v>
      </c>
      <c r="B1636" t="s">
        <v>1530</v>
      </c>
      <c r="C1636" t="s">
        <v>7</v>
      </c>
      <c r="D1636" t="s">
        <v>11</v>
      </c>
      <c r="E1636" t="str">
        <f>"46.0406"</f>
        <v>46.0406</v>
      </c>
      <c r="F1636" t="s">
        <v>1530</v>
      </c>
    </row>
    <row r="1637" spans="1:6" x14ac:dyDescent="0.25">
      <c r="A1637" t="str">
        <f>"46.0408"</f>
        <v>46.0408</v>
      </c>
      <c r="B1637" t="s">
        <v>1531</v>
      </c>
      <c r="C1637" t="s">
        <v>7</v>
      </c>
      <c r="D1637" t="s">
        <v>11</v>
      </c>
      <c r="E1637" t="str">
        <f>"46.0408"</f>
        <v>46.0408</v>
      </c>
      <c r="F1637" t="s">
        <v>1531</v>
      </c>
    </row>
    <row r="1638" spans="1:6" x14ac:dyDescent="0.25">
      <c r="A1638" t="str">
        <f>"46.0410"</f>
        <v>46.0410</v>
      </c>
      <c r="B1638" t="s">
        <v>1532</v>
      </c>
      <c r="C1638" t="s">
        <v>7</v>
      </c>
      <c r="D1638" t="s">
        <v>11</v>
      </c>
      <c r="E1638" t="str">
        <f>"46.0410"</f>
        <v>46.0410</v>
      </c>
      <c r="F1638" t="s">
        <v>1532</v>
      </c>
    </row>
    <row r="1639" spans="1:6" x14ac:dyDescent="0.25">
      <c r="A1639" t="str">
        <f>"46.0411"</f>
        <v>46.0411</v>
      </c>
      <c r="B1639" t="s">
        <v>1533</v>
      </c>
      <c r="C1639" t="s">
        <v>7</v>
      </c>
      <c r="D1639" t="s">
        <v>11</v>
      </c>
      <c r="E1639" t="str">
        <f>"46.0411"</f>
        <v>46.0411</v>
      </c>
      <c r="F1639" t="s">
        <v>1533</v>
      </c>
    </row>
    <row r="1640" spans="1:6" x14ac:dyDescent="0.25">
      <c r="A1640" t="str">
        <f>"46.0412"</f>
        <v>46.0412</v>
      </c>
      <c r="B1640" t="s">
        <v>1534</v>
      </c>
      <c r="C1640" t="s">
        <v>7</v>
      </c>
      <c r="D1640" t="s">
        <v>11</v>
      </c>
      <c r="E1640" t="str">
        <f>"46.0412"</f>
        <v>46.0412</v>
      </c>
      <c r="F1640" t="s">
        <v>1534</v>
      </c>
    </row>
    <row r="1641" spans="1:6" x14ac:dyDescent="0.25">
      <c r="A1641" t="str">
        <f>"46.0413"</f>
        <v>46.0413</v>
      </c>
      <c r="B1641" t="s">
        <v>1535</v>
      </c>
      <c r="C1641" t="s">
        <v>7</v>
      </c>
      <c r="D1641" t="s">
        <v>11</v>
      </c>
      <c r="E1641" t="str">
        <f>"46.0413"</f>
        <v>46.0413</v>
      </c>
      <c r="F1641" t="s">
        <v>1535</v>
      </c>
    </row>
    <row r="1642" spans="1:6" x14ac:dyDescent="0.25">
      <c r="A1642" t="str">
        <f>"46.0414"</f>
        <v>46.0414</v>
      </c>
      <c r="B1642" t="s">
        <v>1536</v>
      </c>
      <c r="C1642" t="s">
        <v>7</v>
      </c>
      <c r="D1642" t="s">
        <v>11</v>
      </c>
      <c r="E1642" t="str">
        <f>"46.0414"</f>
        <v>46.0414</v>
      </c>
      <c r="F1642" t="s">
        <v>1536</v>
      </c>
    </row>
    <row r="1643" spans="1:6" x14ac:dyDescent="0.25">
      <c r="A1643" t="str">
        <f>"46.0415"</f>
        <v>46.0415</v>
      </c>
      <c r="B1643" t="s">
        <v>1537</v>
      </c>
      <c r="C1643" t="s">
        <v>7</v>
      </c>
      <c r="D1643" t="s">
        <v>8</v>
      </c>
      <c r="E1643" t="str">
        <f>"46.0415"</f>
        <v>46.0415</v>
      </c>
      <c r="F1643" t="s">
        <v>1538</v>
      </c>
    </row>
    <row r="1644" spans="1:6" x14ac:dyDescent="0.25">
      <c r="A1644" t="str">
        <f>"46.0499"</f>
        <v>46.0499</v>
      </c>
      <c r="B1644" t="s">
        <v>1539</v>
      </c>
      <c r="C1644" t="s">
        <v>7</v>
      </c>
      <c r="D1644" t="s">
        <v>11</v>
      </c>
      <c r="E1644" t="str">
        <f>"46.0499"</f>
        <v>46.0499</v>
      </c>
      <c r="F1644" t="s">
        <v>1539</v>
      </c>
    </row>
    <row r="1645" spans="1:6" x14ac:dyDescent="0.25">
      <c r="A1645" t="str">
        <f>"46.05"</f>
        <v>46.05</v>
      </c>
      <c r="B1645" t="s">
        <v>1540</v>
      </c>
      <c r="C1645" t="s">
        <v>7</v>
      </c>
      <c r="D1645" t="s">
        <v>11</v>
      </c>
      <c r="E1645" t="str">
        <f>"46.05"</f>
        <v>46.05</v>
      </c>
      <c r="F1645" t="s">
        <v>1540</v>
      </c>
    </row>
    <row r="1646" spans="1:6" x14ac:dyDescent="0.25">
      <c r="A1646" t="str">
        <f>"46.0502"</f>
        <v>46.0502</v>
      </c>
      <c r="B1646" t="s">
        <v>1541</v>
      </c>
      <c r="C1646" t="s">
        <v>7</v>
      </c>
      <c r="D1646" t="s">
        <v>11</v>
      </c>
      <c r="E1646" t="str">
        <f>"46.0502"</f>
        <v>46.0502</v>
      </c>
      <c r="F1646" t="s">
        <v>1541</v>
      </c>
    </row>
    <row r="1647" spans="1:6" x14ac:dyDescent="0.25">
      <c r="A1647" t="str">
        <f>"46.0503"</f>
        <v>46.0503</v>
      </c>
      <c r="B1647" t="s">
        <v>1542</v>
      </c>
      <c r="C1647" t="s">
        <v>7</v>
      </c>
      <c r="D1647" t="s">
        <v>11</v>
      </c>
      <c r="E1647" t="str">
        <f>"46.0503"</f>
        <v>46.0503</v>
      </c>
      <c r="F1647" t="s">
        <v>1542</v>
      </c>
    </row>
    <row r="1648" spans="1:6" x14ac:dyDescent="0.25">
      <c r="A1648" t="str">
        <f>"46.0504"</f>
        <v>46.0504</v>
      </c>
      <c r="B1648" t="s">
        <v>1543</v>
      </c>
      <c r="C1648" t="s">
        <v>7</v>
      </c>
      <c r="D1648" t="s">
        <v>11</v>
      </c>
      <c r="E1648" t="str">
        <f>"46.0504"</f>
        <v>46.0504</v>
      </c>
      <c r="F1648" t="s">
        <v>1543</v>
      </c>
    </row>
    <row r="1649" spans="1:6" x14ac:dyDescent="0.25">
      <c r="A1649" t="str">
        <f>"46.0505"</f>
        <v>46.0505</v>
      </c>
      <c r="B1649" t="s">
        <v>1544</v>
      </c>
      <c r="C1649" t="s">
        <v>7</v>
      </c>
      <c r="D1649" t="s">
        <v>11</v>
      </c>
      <c r="E1649" t="str">
        <f>"46.0505"</f>
        <v>46.0505</v>
      </c>
      <c r="F1649" t="s">
        <v>1544</v>
      </c>
    </row>
    <row r="1650" spans="1:6" x14ac:dyDescent="0.25">
      <c r="A1650" t="str">
        <f>"46.0599"</f>
        <v>46.0599</v>
      </c>
      <c r="B1650" t="s">
        <v>1545</v>
      </c>
      <c r="C1650" t="s">
        <v>7</v>
      </c>
      <c r="D1650" t="s">
        <v>11</v>
      </c>
      <c r="E1650" t="str">
        <f>"46.0599"</f>
        <v>46.0599</v>
      </c>
      <c r="F1650" t="s">
        <v>1545</v>
      </c>
    </row>
    <row r="1651" spans="1:6" x14ac:dyDescent="0.25">
      <c r="A1651" t="str">
        <f>"46.99"</f>
        <v>46.99</v>
      </c>
      <c r="B1651" t="s">
        <v>1546</v>
      </c>
      <c r="C1651" t="s">
        <v>7</v>
      </c>
      <c r="D1651" t="s">
        <v>11</v>
      </c>
      <c r="E1651" t="str">
        <f>"46.99"</f>
        <v>46.99</v>
      </c>
      <c r="F1651" t="s">
        <v>1546</v>
      </c>
    </row>
    <row r="1652" spans="1:6" x14ac:dyDescent="0.25">
      <c r="A1652" t="str">
        <f>"46.9999"</f>
        <v>46.9999</v>
      </c>
      <c r="B1652" t="s">
        <v>1546</v>
      </c>
      <c r="C1652" t="s">
        <v>7</v>
      </c>
      <c r="D1652" t="s">
        <v>11</v>
      </c>
      <c r="E1652" t="str">
        <f>"46.9999"</f>
        <v>46.9999</v>
      </c>
      <c r="F1652" t="s">
        <v>1546</v>
      </c>
    </row>
    <row r="1653" spans="1:6" x14ac:dyDescent="0.25">
      <c r="A1653" t="str">
        <f>"47"</f>
        <v>47</v>
      </c>
      <c r="B1653" t="s">
        <v>1547</v>
      </c>
      <c r="C1653" t="s">
        <v>7</v>
      </c>
      <c r="D1653" t="s">
        <v>11</v>
      </c>
      <c r="E1653" t="str">
        <f>"47"</f>
        <v>47</v>
      </c>
      <c r="F1653" t="s">
        <v>1547</v>
      </c>
    </row>
    <row r="1654" spans="1:6" x14ac:dyDescent="0.25">
      <c r="A1654" t="str">
        <f>"47.00"</f>
        <v>47.00</v>
      </c>
      <c r="B1654" t="s">
        <v>1548</v>
      </c>
      <c r="C1654" t="s">
        <v>7</v>
      </c>
      <c r="D1654" t="s">
        <v>11</v>
      </c>
      <c r="E1654" t="str">
        <f>"47.00"</f>
        <v>47.00</v>
      </c>
      <c r="F1654" t="s">
        <v>1548</v>
      </c>
    </row>
    <row r="1655" spans="1:6" x14ac:dyDescent="0.25">
      <c r="A1655" t="str">
        <f>"47.0000"</f>
        <v>47.0000</v>
      </c>
      <c r="B1655" t="s">
        <v>1548</v>
      </c>
      <c r="C1655" t="s">
        <v>7</v>
      </c>
      <c r="D1655" t="s">
        <v>11</v>
      </c>
      <c r="E1655" t="str">
        <f>"47.0000"</f>
        <v>47.0000</v>
      </c>
      <c r="F1655" t="s">
        <v>1548</v>
      </c>
    </row>
    <row r="1656" spans="1:6" x14ac:dyDescent="0.25">
      <c r="A1656" t="str">
        <f>"47.01"</f>
        <v>47.01</v>
      </c>
      <c r="B1656" t="s">
        <v>1549</v>
      </c>
      <c r="C1656" t="s">
        <v>7</v>
      </c>
      <c r="D1656" t="s">
        <v>8</v>
      </c>
      <c r="E1656" t="str">
        <f>"47.01"</f>
        <v>47.01</v>
      </c>
      <c r="F1656" t="s">
        <v>1550</v>
      </c>
    </row>
    <row r="1657" spans="1:6" x14ac:dyDescent="0.25">
      <c r="A1657" t="str">
        <f>"47.0101"</f>
        <v>47.0101</v>
      </c>
      <c r="B1657" t="s">
        <v>1551</v>
      </c>
      <c r="C1657" t="s">
        <v>7</v>
      </c>
      <c r="D1657" t="s">
        <v>8</v>
      </c>
      <c r="E1657" t="str">
        <f>"47.0101"</f>
        <v>47.0101</v>
      </c>
      <c r="F1657" t="s">
        <v>1552</v>
      </c>
    </row>
    <row r="1658" spans="1:6" x14ac:dyDescent="0.25">
      <c r="A1658" t="str">
        <f>"47.0102"</f>
        <v>47.0102</v>
      </c>
      <c r="B1658" t="s">
        <v>1553</v>
      </c>
      <c r="C1658" t="s">
        <v>7</v>
      </c>
      <c r="D1658" t="s">
        <v>11</v>
      </c>
      <c r="E1658" t="str">
        <f>"47.0102"</f>
        <v>47.0102</v>
      </c>
      <c r="F1658" t="s">
        <v>1553</v>
      </c>
    </row>
    <row r="1659" spans="1:6" x14ac:dyDescent="0.25">
      <c r="A1659" t="str">
        <f>"47.0103"</f>
        <v>47.0103</v>
      </c>
      <c r="B1659" t="s">
        <v>1554</v>
      </c>
      <c r="C1659" t="s">
        <v>7</v>
      </c>
      <c r="D1659" t="s">
        <v>8</v>
      </c>
      <c r="E1659" t="str">
        <f>"47.0103"</f>
        <v>47.0103</v>
      </c>
      <c r="F1659" t="s">
        <v>1555</v>
      </c>
    </row>
    <row r="1660" spans="1:6" x14ac:dyDescent="0.25">
      <c r="A1660" t="str">
        <f>"47.0104"</f>
        <v>47.0104</v>
      </c>
      <c r="B1660" t="s">
        <v>1556</v>
      </c>
      <c r="C1660" t="s">
        <v>7</v>
      </c>
      <c r="D1660" t="s">
        <v>11</v>
      </c>
      <c r="E1660" t="str">
        <f>"47.0104"</f>
        <v>47.0104</v>
      </c>
      <c r="F1660" t="s">
        <v>1556</v>
      </c>
    </row>
    <row r="1661" spans="1:6" x14ac:dyDescent="0.25">
      <c r="A1661" t="str">
        <f>"47.0105"</f>
        <v>47.0105</v>
      </c>
      <c r="B1661" t="s">
        <v>1557</v>
      </c>
      <c r="C1661" t="s">
        <v>7</v>
      </c>
      <c r="D1661" t="s">
        <v>11</v>
      </c>
      <c r="E1661" t="str">
        <f>"47.0105"</f>
        <v>47.0105</v>
      </c>
      <c r="F1661" t="s">
        <v>1557</v>
      </c>
    </row>
    <row r="1662" spans="1:6" x14ac:dyDescent="0.25">
      <c r="A1662" t="str">
        <f>"47.0106"</f>
        <v>47.0106</v>
      </c>
      <c r="B1662" t="s">
        <v>1558</v>
      </c>
      <c r="C1662" t="s">
        <v>7</v>
      </c>
      <c r="D1662" t="s">
        <v>11</v>
      </c>
      <c r="E1662" t="str">
        <f>"47.0106"</f>
        <v>47.0106</v>
      </c>
      <c r="F1662" t="s">
        <v>1558</v>
      </c>
    </row>
    <row r="1663" spans="1:6" x14ac:dyDescent="0.25">
      <c r="A1663" t="str">
        <f>"47.0110"</f>
        <v>47.0110</v>
      </c>
      <c r="B1663" t="s">
        <v>1559</v>
      </c>
      <c r="C1663" t="s">
        <v>7</v>
      </c>
      <c r="D1663" t="s">
        <v>11</v>
      </c>
      <c r="E1663" t="str">
        <f>"47.0110"</f>
        <v>47.0110</v>
      </c>
      <c r="F1663" t="s">
        <v>1559</v>
      </c>
    </row>
    <row r="1664" spans="1:6" x14ac:dyDescent="0.25">
      <c r="A1664" t="str">
        <f>"47.0199"</f>
        <v>47.0199</v>
      </c>
      <c r="B1664" t="s">
        <v>1560</v>
      </c>
      <c r="C1664" t="s">
        <v>7</v>
      </c>
      <c r="D1664" t="s">
        <v>8</v>
      </c>
      <c r="E1664" t="str">
        <f>"47.0199"</f>
        <v>47.0199</v>
      </c>
      <c r="F1664" t="s">
        <v>1561</v>
      </c>
    </row>
    <row r="1665" spans="1:6" x14ac:dyDescent="0.25">
      <c r="A1665" t="str">
        <f>"47.02"</f>
        <v>47.02</v>
      </c>
      <c r="B1665" t="s">
        <v>1562</v>
      </c>
      <c r="C1665" t="s">
        <v>7</v>
      </c>
      <c r="D1665" t="s">
        <v>11</v>
      </c>
      <c r="E1665" t="str">
        <f>"47.02"</f>
        <v>47.02</v>
      </c>
      <c r="F1665" t="s">
        <v>1562</v>
      </c>
    </row>
    <row r="1666" spans="1:6" x14ac:dyDescent="0.25">
      <c r="A1666" t="str">
        <f>"47.0201"</f>
        <v>47.0201</v>
      </c>
      <c r="B1666" t="s">
        <v>1563</v>
      </c>
      <c r="C1666" t="s">
        <v>7</v>
      </c>
      <c r="D1666" t="s">
        <v>11</v>
      </c>
      <c r="E1666" t="str">
        <f>"47.0201"</f>
        <v>47.0201</v>
      </c>
      <c r="F1666" t="s">
        <v>1563</v>
      </c>
    </row>
    <row r="1667" spans="1:6" x14ac:dyDescent="0.25">
      <c r="A1667" t="str">
        <f>"47.03"</f>
        <v>47.03</v>
      </c>
      <c r="B1667" t="s">
        <v>1564</v>
      </c>
      <c r="C1667" t="s">
        <v>7</v>
      </c>
      <c r="D1667" t="s">
        <v>8</v>
      </c>
      <c r="E1667" t="str">
        <f>"47.03"</f>
        <v>47.03</v>
      </c>
      <c r="F1667" t="s">
        <v>1565</v>
      </c>
    </row>
    <row r="1668" spans="1:6" x14ac:dyDescent="0.25">
      <c r="A1668" t="str">
        <f>"47.0302"</f>
        <v>47.0302</v>
      </c>
      <c r="B1668" t="s">
        <v>1566</v>
      </c>
      <c r="C1668" t="s">
        <v>7</v>
      </c>
      <c r="D1668" t="s">
        <v>11</v>
      </c>
      <c r="E1668" t="str">
        <f>"47.0302"</f>
        <v>47.0302</v>
      </c>
      <c r="F1668" t="s">
        <v>1566</v>
      </c>
    </row>
    <row r="1669" spans="1:6" x14ac:dyDescent="0.25">
      <c r="A1669" t="str">
        <f>"47.0303"</f>
        <v>47.0303</v>
      </c>
      <c r="B1669" t="s">
        <v>1567</v>
      </c>
      <c r="C1669" t="s">
        <v>7</v>
      </c>
      <c r="D1669" t="s">
        <v>8</v>
      </c>
      <c r="E1669" t="str">
        <f>"47.0303"</f>
        <v>47.0303</v>
      </c>
      <c r="F1669" t="s">
        <v>1568</v>
      </c>
    </row>
    <row r="1670" spans="1:6" x14ac:dyDescent="0.25">
      <c r="A1670" t="str">
        <f>"47.0399"</f>
        <v>47.0399</v>
      </c>
      <c r="B1670" t="s">
        <v>1569</v>
      </c>
      <c r="C1670" t="s">
        <v>7</v>
      </c>
      <c r="D1670" t="s">
        <v>8</v>
      </c>
      <c r="E1670" t="str">
        <f>"47.0399"</f>
        <v>47.0399</v>
      </c>
      <c r="F1670" t="s">
        <v>1570</v>
      </c>
    </row>
    <row r="1671" spans="1:6" x14ac:dyDescent="0.25">
      <c r="A1671" t="str">
        <f>"47.04"</f>
        <v>47.04</v>
      </c>
      <c r="B1671" t="s">
        <v>1571</v>
      </c>
      <c r="C1671" t="s">
        <v>7</v>
      </c>
      <c r="D1671" t="s">
        <v>8</v>
      </c>
      <c r="E1671" t="str">
        <f>"47.04"</f>
        <v>47.04</v>
      </c>
      <c r="F1671" t="s">
        <v>1572</v>
      </c>
    </row>
    <row r="1672" spans="1:6" x14ac:dyDescent="0.25">
      <c r="A1672" t="str">
        <f>"47.0402"</f>
        <v>47.0402</v>
      </c>
      <c r="B1672" t="s">
        <v>1573</v>
      </c>
      <c r="C1672" t="s">
        <v>7</v>
      </c>
      <c r="D1672" t="s">
        <v>11</v>
      </c>
      <c r="E1672" t="str">
        <f>"47.0402"</f>
        <v>47.0402</v>
      </c>
      <c r="F1672" t="s">
        <v>1573</v>
      </c>
    </row>
    <row r="1673" spans="1:6" x14ac:dyDescent="0.25">
      <c r="A1673" t="str">
        <f>"47.0403"</f>
        <v>47.0403</v>
      </c>
      <c r="B1673" t="s">
        <v>1574</v>
      </c>
      <c r="C1673" t="s">
        <v>7</v>
      </c>
      <c r="D1673" t="s">
        <v>11</v>
      </c>
      <c r="E1673" t="str">
        <f>"47.0403"</f>
        <v>47.0403</v>
      </c>
      <c r="F1673" t="s">
        <v>1574</v>
      </c>
    </row>
    <row r="1674" spans="1:6" x14ac:dyDescent="0.25">
      <c r="A1674" t="str">
        <f>"47.0404"</f>
        <v>47.0404</v>
      </c>
      <c r="B1674" t="s">
        <v>1575</v>
      </c>
      <c r="C1674" t="s">
        <v>7</v>
      </c>
      <c r="D1674" t="s">
        <v>11</v>
      </c>
      <c r="E1674" t="str">
        <f>"47.0404"</f>
        <v>47.0404</v>
      </c>
      <c r="F1674" t="s">
        <v>1575</v>
      </c>
    </row>
    <row r="1675" spans="1:6" x14ac:dyDescent="0.25">
      <c r="A1675" t="str">
        <f>"47.0408"</f>
        <v>47.0408</v>
      </c>
      <c r="B1675" t="s">
        <v>1576</v>
      </c>
      <c r="C1675" t="s">
        <v>7</v>
      </c>
      <c r="D1675" t="s">
        <v>11</v>
      </c>
      <c r="E1675" t="str">
        <f>"47.0408"</f>
        <v>47.0408</v>
      </c>
      <c r="F1675" t="s">
        <v>1576</v>
      </c>
    </row>
    <row r="1676" spans="1:6" x14ac:dyDescent="0.25">
      <c r="A1676" t="str">
        <f>"47.0409"</f>
        <v>47.0409</v>
      </c>
      <c r="B1676" t="s">
        <v>1577</v>
      </c>
      <c r="C1676" t="s">
        <v>7</v>
      </c>
      <c r="D1676" t="s">
        <v>11</v>
      </c>
      <c r="E1676" t="str">
        <f>"47.0409"</f>
        <v>47.0409</v>
      </c>
      <c r="F1676" t="s">
        <v>1577</v>
      </c>
    </row>
    <row r="1677" spans="1:6" x14ac:dyDescent="0.25">
      <c r="A1677" t="str">
        <f>"47.0499"</f>
        <v>47.0499</v>
      </c>
      <c r="B1677" t="s">
        <v>1578</v>
      </c>
      <c r="C1677" t="s">
        <v>7</v>
      </c>
      <c r="D1677" t="s">
        <v>8</v>
      </c>
      <c r="E1677" t="str">
        <f>"47.0499"</f>
        <v>47.0499</v>
      </c>
      <c r="F1677" t="s">
        <v>1579</v>
      </c>
    </row>
    <row r="1678" spans="1:6" x14ac:dyDescent="0.25">
      <c r="A1678" t="str">
        <f>"47.06"</f>
        <v>47.06</v>
      </c>
      <c r="B1678" t="s">
        <v>1580</v>
      </c>
      <c r="C1678" t="s">
        <v>7</v>
      </c>
      <c r="D1678" t="s">
        <v>8</v>
      </c>
      <c r="E1678" t="str">
        <f>"47.06"</f>
        <v>47.06</v>
      </c>
      <c r="F1678" t="s">
        <v>1581</v>
      </c>
    </row>
    <row r="1679" spans="1:6" x14ac:dyDescent="0.25">
      <c r="A1679" t="str">
        <f>"47.0600"</f>
        <v>47.0600</v>
      </c>
      <c r="B1679" t="s">
        <v>1582</v>
      </c>
      <c r="C1679" t="s">
        <v>7</v>
      </c>
      <c r="D1679" t="s">
        <v>8</v>
      </c>
      <c r="E1679" t="str">
        <f>"47.0600"</f>
        <v>47.0600</v>
      </c>
      <c r="F1679" t="s">
        <v>1583</v>
      </c>
    </row>
    <row r="1680" spans="1:6" x14ac:dyDescent="0.25">
      <c r="A1680" t="str">
        <f>"47.0603"</f>
        <v>47.0603</v>
      </c>
      <c r="B1680" t="s">
        <v>1584</v>
      </c>
      <c r="C1680" t="s">
        <v>7</v>
      </c>
      <c r="D1680" t="s">
        <v>11</v>
      </c>
      <c r="E1680" t="str">
        <f>"47.0603"</f>
        <v>47.0603</v>
      </c>
      <c r="F1680" t="s">
        <v>1584</v>
      </c>
    </row>
    <row r="1681" spans="1:6" x14ac:dyDescent="0.25">
      <c r="A1681" t="str">
        <f>"47.0604"</f>
        <v>47.0604</v>
      </c>
      <c r="B1681" t="s">
        <v>1585</v>
      </c>
      <c r="C1681" t="s">
        <v>7</v>
      </c>
      <c r="D1681" t="s">
        <v>11</v>
      </c>
      <c r="E1681" t="str">
        <f>"47.0604"</f>
        <v>47.0604</v>
      </c>
      <c r="F1681" t="s">
        <v>1585</v>
      </c>
    </row>
    <row r="1682" spans="1:6" x14ac:dyDescent="0.25">
      <c r="A1682" t="str">
        <f>"47.0605"</f>
        <v>47.0605</v>
      </c>
      <c r="B1682" t="s">
        <v>1586</v>
      </c>
      <c r="C1682" t="s">
        <v>7</v>
      </c>
      <c r="D1682" t="s">
        <v>11</v>
      </c>
      <c r="E1682" t="str">
        <f>"47.0605"</f>
        <v>47.0605</v>
      </c>
      <c r="F1682" t="s">
        <v>1586</v>
      </c>
    </row>
    <row r="1683" spans="1:6" x14ac:dyDescent="0.25">
      <c r="A1683" t="str">
        <f>"47.0606"</f>
        <v>47.0606</v>
      </c>
      <c r="B1683" t="s">
        <v>1587</v>
      </c>
      <c r="C1683" t="s">
        <v>7</v>
      </c>
      <c r="D1683" t="s">
        <v>11</v>
      </c>
      <c r="E1683" t="str">
        <f>"47.0606"</f>
        <v>47.0606</v>
      </c>
      <c r="F1683" t="s">
        <v>1587</v>
      </c>
    </row>
    <row r="1684" spans="1:6" x14ac:dyDescent="0.25">
      <c r="A1684" t="str">
        <f>"47.0607"</f>
        <v>47.0607</v>
      </c>
      <c r="B1684" t="s">
        <v>1588</v>
      </c>
      <c r="C1684" t="s">
        <v>7</v>
      </c>
      <c r="D1684" t="s">
        <v>11</v>
      </c>
      <c r="E1684" t="str">
        <f>"47.0607"</f>
        <v>47.0607</v>
      </c>
      <c r="F1684" t="s">
        <v>1588</v>
      </c>
    </row>
    <row r="1685" spans="1:6" x14ac:dyDescent="0.25">
      <c r="A1685" t="str">
        <f>"47.0608"</f>
        <v>47.0608</v>
      </c>
      <c r="B1685" t="s">
        <v>1589</v>
      </c>
      <c r="C1685" t="s">
        <v>7</v>
      </c>
      <c r="D1685" t="s">
        <v>11</v>
      </c>
      <c r="E1685" t="str">
        <f>"47.0608"</f>
        <v>47.0608</v>
      </c>
      <c r="F1685" t="s">
        <v>1589</v>
      </c>
    </row>
    <row r="1686" spans="1:6" x14ac:dyDescent="0.25">
      <c r="A1686" t="str">
        <f>"47.0609"</f>
        <v>47.0609</v>
      </c>
      <c r="B1686" t="s">
        <v>1590</v>
      </c>
      <c r="C1686" t="s">
        <v>7</v>
      </c>
      <c r="D1686" t="s">
        <v>11</v>
      </c>
      <c r="E1686" t="str">
        <f>"47.0609"</f>
        <v>47.0609</v>
      </c>
      <c r="F1686" t="s">
        <v>1590</v>
      </c>
    </row>
    <row r="1687" spans="1:6" x14ac:dyDescent="0.25">
      <c r="A1687" t="str">
        <f>"47.0610"</f>
        <v>47.0610</v>
      </c>
      <c r="B1687" t="s">
        <v>1591</v>
      </c>
      <c r="C1687" t="s">
        <v>7</v>
      </c>
      <c r="D1687" t="s">
        <v>11</v>
      </c>
      <c r="E1687" t="str">
        <f>"47.0610"</f>
        <v>47.0610</v>
      </c>
      <c r="F1687" t="s">
        <v>1591</v>
      </c>
    </row>
    <row r="1688" spans="1:6" x14ac:dyDescent="0.25">
      <c r="A1688" t="str">
        <f>"47.0611"</f>
        <v>47.0611</v>
      </c>
      <c r="B1688" t="s">
        <v>1592</v>
      </c>
      <c r="C1688" t="s">
        <v>7</v>
      </c>
      <c r="D1688" t="s">
        <v>11</v>
      </c>
      <c r="E1688" t="str">
        <f>"47.0611"</f>
        <v>47.0611</v>
      </c>
      <c r="F1688" t="s">
        <v>1592</v>
      </c>
    </row>
    <row r="1689" spans="1:6" x14ac:dyDescent="0.25">
      <c r="A1689" t="str">
        <f>"47.0612"</f>
        <v>47.0612</v>
      </c>
      <c r="B1689" t="s">
        <v>1593</v>
      </c>
      <c r="C1689" t="s">
        <v>7</v>
      </c>
      <c r="D1689" t="s">
        <v>11</v>
      </c>
      <c r="E1689" t="str">
        <f>"47.0612"</f>
        <v>47.0612</v>
      </c>
      <c r="F1689" t="s">
        <v>1593</v>
      </c>
    </row>
    <row r="1690" spans="1:6" x14ac:dyDescent="0.25">
      <c r="A1690" t="str">
        <f>"47.0613"</f>
        <v>47.0613</v>
      </c>
      <c r="B1690" t="s">
        <v>1594</v>
      </c>
      <c r="C1690" t="s">
        <v>7</v>
      </c>
      <c r="D1690" t="s">
        <v>11</v>
      </c>
      <c r="E1690" t="str">
        <f>"47.0613"</f>
        <v>47.0613</v>
      </c>
      <c r="F1690" t="s">
        <v>1594</v>
      </c>
    </row>
    <row r="1691" spans="1:6" x14ac:dyDescent="0.25">
      <c r="A1691" t="str">
        <f>"47.0614"</f>
        <v>47.0614</v>
      </c>
      <c r="B1691" t="s">
        <v>1595</v>
      </c>
      <c r="C1691" t="s">
        <v>7</v>
      </c>
      <c r="D1691" t="s">
        <v>11</v>
      </c>
      <c r="E1691" t="str">
        <f>"47.0614"</f>
        <v>47.0614</v>
      </c>
      <c r="F1691" t="s">
        <v>1595</v>
      </c>
    </row>
    <row r="1692" spans="1:6" x14ac:dyDescent="0.25">
      <c r="A1692" t="str">
        <f>"47.0615"</f>
        <v>47.0615</v>
      </c>
      <c r="B1692" t="s">
        <v>1596</v>
      </c>
      <c r="C1692" t="s">
        <v>7</v>
      </c>
      <c r="D1692" t="s">
        <v>11</v>
      </c>
      <c r="E1692" t="str">
        <f>"47.0615"</f>
        <v>47.0615</v>
      </c>
      <c r="F1692" t="s">
        <v>1596</v>
      </c>
    </row>
    <row r="1693" spans="1:6" x14ac:dyDescent="0.25">
      <c r="A1693" t="str">
        <f>"47.0616"</f>
        <v>47.0616</v>
      </c>
      <c r="B1693" t="s">
        <v>1597</v>
      </c>
      <c r="C1693" t="s">
        <v>7</v>
      </c>
      <c r="D1693" t="s">
        <v>11</v>
      </c>
      <c r="E1693" t="str">
        <f>"47.0616"</f>
        <v>47.0616</v>
      </c>
      <c r="F1693" t="s">
        <v>1597</v>
      </c>
    </row>
    <row r="1694" spans="1:6" x14ac:dyDescent="0.25">
      <c r="A1694" t="str">
        <f>"47.0617"</f>
        <v>47.0617</v>
      </c>
      <c r="B1694" t="s">
        <v>1598</v>
      </c>
      <c r="C1694" t="s">
        <v>7</v>
      </c>
      <c r="D1694" t="s">
        <v>11</v>
      </c>
      <c r="E1694" t="str">
        <f>"47.0617"</f>
        <v>47.0617</v>
      </c>
      <c r="F1694" t="s">
        <v>1598</v>
      </c>
    </row>
    <row r="1695" spans="1:6" x14ac:dyDescent="0.25">
      <c r="A1695" t="str">
        <f>"47.0618"</f>
        <v>47.0618</v>
      </c>
      <c r="B1695" t="s">
        <v>1599</v>
      </c>
      <c r="C1695" t="s">
        <v>7</v>
      </c>
      <c r="D1695" t="s">
        <v>11</v>
      </c>
      <c r="E1695" t="str">
        <f>"47.0618"</f>
        <v>47.0618</v>
      </c>
      <c r="F1695" t="s">
        <v>1599</v>
      </c>
    </row>
    <row r="1696" spans="1:6" x14ac:dyDescent="0.25">
      <c r="A1696" t="str">
        <f>"47.0699"</f>
        <v>47.0699</v>
      </c>
      <c r="B1696" t="s">
        <v>1600</v>
      </c>
      <c r="C1696" t="s">
        <v>7</v>
      </c>
      <c r="D1696" t="s">
        <v>8</v>
      </c>
      <c r="E1696" t="str">
        <f>"47.0699"</f>
        <v>47.0699</v>
      </c>
      <c r="F1696" t="s">
        <v>1601</v>
      </c>
    </row>
    <row r="1697" spans="1:6" x14ac:dyDescent="0.25">
      <c r="C1697" t="s">
        <v>26</v>
      </c>
      <c r="D1697" t="s">
        <v>11</v>
      </c>
      <c r="E1697" t="str">
        <f>"47.07"</f>
        <v>47.07</v>
      </c>
      <c r="F1697" t="s">
        <v>1602</v>
      </c>
    </row>
    <row r="1698" spans="1:6" x14ac:dyDescent="0.25">
      <c r="C1698" t="s">
        <v>26</v>
      </c>
      <c r="D1698" t="s">
        <v>11</v>
      </c>
      <c r="E1698" t="str">
        <f>"47.0701"</f>
        <v>47.0701</v>
      </c>
      <c r="F1698" t="s">
        <v>1603</v>
      </c>
    </row>
    <row r="1699" spans="1:6" x14ac:dyDescent="0.25">
      <c r="C1699" t="s">
        <v>26</v>
      </c>
      <c r="D1699" t="s">
        <v>11</v>
      </c>
      <c r="E1699" t="str">
        <f>"47.0703"</f>
        <v>47.0703</v>
      </c>
      <c r="F1699" t="s">
        <v>1604</v>
      </c>
    </row>
    <row r="1700" spans="1:6" x14ac:dyDescent="0.25">
      <c r="C1700" t="s">
        <v>26</v>
      </c>
      <c r="D1700" t="s">
        <v>11</v>
      </c>
      <c r="E1700" t="str">
        <f>"47.0704"</f>
        <v>47.0704</v>
      </c>
      <c r="F1700" t="s">
        <v>1605</v>
      </c>
    </row>
    <row r="1701" spans="1:6" x14ac:dyDescent="0.25">
      <c r="C1701" t="s">
        <v>26</v>
      </c>
      <c r="D1701" t="s">
        <v>11</v>
      </c>
      <c r="E1701" t="str">
        <f>"47.0705"</f>
        <v>47.0705</v>
      </c>
      <c r="F1701" t="s">
        <v>1606</v>
      </c>
    </row>
    <row r="1702" spans="1:6" x14ac:dyDescent="0.25">
      <c r="C1702" t="s">
        <v>26</v>
      </c>
      <c r="D1702" t="s">
        <v>11</v>
      </c>
      <c r="E1702" t="str">
        <f>"47.0706"</f>
        <v>47.0706</v>
      </c>
      <c r="F1702" t="s">
        <v>1607</v>
      </c>
    </row>
    <row r="1703" spans="1:6" x14ac:dyDescent="0.25">
      <c r="C1703" t="s">
        <v>26</v>
      </c>
      <c r="D1703" t="s">
        <v>11</v>
      </c>
      <c r="E1703" t="str">
        <f>"47.0799"</f>
        <v>47.0799</v>
      </c>
      <c r="F1703" t="s">
        <v>1608</v>
      </c>
    </row>
    <row r="1704" spans="1:6" x14ac:dyDescent="0.25">
      <c r="A1704" t="str">
        <f>"47.99"</f>
        <v>47.99</v>
      </c>
      <c r="B1704" t="s">
        <v>1609</v>
      </c>
      <c r="C1704" t="s">
        <v>7</v>
      </c>
      <c r="D1704" t="s">
        <v>11</v>
      </c>
      <c r="E1704" t="str">
        <f>"47.99"</f>
        <v>47.99</v>
      </c>
      <c r="F1704" t="s">
        <v>1609</v>
      </c>
    </row>
    <row r="1705" spans="1:6" x14ac:dyDescent="0.25">
      <c r="A1705" t="str">
        <f>"47.9999"</f>
        <v>47.9999</v>
      </c>
      <c r="B1705" t="s">
        <v>1609</v>
      </c>
      <c r="C1705" t="s">
        <v>7</v>
      </c>
      <c r="D1705" t="s">
        <v>11</v>
      </c>
      <c r="E1705" t="str">
        <f>"47.9999"</f>
        <v>47.9999</v>
      </c>
      <c r="F1705" t="s">
        <v>1609</v>
      </c>
    </row>
    <row r="1706" spans="1:6" x14ac:dyDescent="0.25">
      <c r="A1706" t="str">
        <f>"48"</f>
        <v>48</v>
      </c>
      <c r="B1706" t="s">
        <v>1610</v>
      </c>
      <c r="C1706" t="s">
        <v>7</v>
      </c>
      <c r="D1706" t="s">
        <v>11</v>
      </c>
      <c r="E1706" t="str">
        <f>"48"</f>
        <v>48</v>
      </c>
      <c r="F1706" t="s">
        <v>1610</v>
      </c>
    </row>
    <row r="1707" spans="1:6" x14ac:dyDescent="0.25">
      <c r="A1707" t="str">
        <f>"48.00"</f>
        <v>48.00</v>
      </c>
      <c r="B1707" t="s">
        <v>1611</v>
      </c>
      <c r="C1707" t="s">
        <v>7</v>
      </c>
      <c r="D1707" t="s">
        <v>11</v>
      </c>
      <c r="E1707" t="str">
        <f>"48.00"</f>
        <v>48.00</v>
      </c>
      <c r="F1707" t="s">
        <v>1611</v>
      </c>
    </row>
    <row r="1708" spans="1:6" x14ac:dyDescent="0.25">
      <c r="A1708" t="str">
        <f>"48.0000"</f>
        <v>48.0000</v>
      </c>
      <c r="B1708" t="s">
        <v>1611</v>
      </c>
      <c r="C1708" t="s">
        <v>7</v>
      </c>
      <c r="D1708" t="s">
        <v>11</v>
      </c>
      <c r="E1708" t="str">
        <f>"48.0000"</f>
        <v>48.0000</v>
      </c>
      <c r="F1708" t="s">
        <v>1611</v>
      </c>
    </row>
    <row r="1709" spans="1:6" x14ac:dyDescent="0.25">
      <c r="A1709" t="str">
        <f>"48.03"</f>
        <v>48.03</v>
      </c>
      <c r="B1709" t="s">
        <v>1612</v>
      </c>
      <c r="C1709" t="s">
        <v>7</v>
      </c>
      <c r="D1709" t="s">
        <v>11</v>
      </c>
      <c r="E1709" t="str">
        <f>"48.03"</f>
        <v>48.03</v>
      </c>
      <c r="F1709" t="s">
        <v>1612</v>
      </c>
    </row>
    <row r="1710" spans="1:6" x14ac:dyDescent="0.25">
      <c r="A1710" t="str">
        <f>"48.0303"</f>
        <v>48.0303</v>
      </c>
      <c r="B1710" t="s">
        <v>1613</v>
      </c>
      <c r="C1710" t="s">
        <v>7</v>
      </c>
      <c r="D1710" t="s">
        <v>11</v>
      </c>
      <c r="E1710" t="str">
        <f>"48.0303"</f>
        <v>48.0303</v>
      </c>
      <c r="F1710" t="s">
        <v>1613</v>
      </c>
    </row>
    <row r="1711" spans="1:6" x14ac:dyDescent="0.25">
      <c r="A1711" t="str">
        <f>"48.0304"</f>
        <v>48.0304</v>
      </c>
      <c r="B1711" t="s">
        <v>1614</v>
      </c>
      <c r="C1711" t="s">
        <v>7</v>
      </c>
      <c r="D1711" t="s">
        <v>11</v>
      </c>
      <c r="E1711" t="str">
        <f>"48.0304"</f>
        <v>48.0304</v>
      </c>
      <c r="F1711" t="s">
        <v>1614</v>
      </c>
    </row>
    <row r="1712" spans="1:6" x14ac:dyDescent="0.25">
      <c r="A1712" t="str">
        <f>"48.0399"</f>
        <v>48.0399</v>
      </c>
      <c r="B1712" t="s">
        <v>1615</v>
      </c>
      <c r="C1712" t="s">
        <v>7</v>
      </c>
      <c r="D1712" t="s">
        <v>11</v>
      </c>
      <c r="E1712" t="str">
        <f>"48.0399"</f>
        <v>48.0399</v>
      </c>
      <c r="F1712" t="s">
        <v>1615</v>
      </c>
    </row>
    <row r="1713" spans="1:6" x14ac:dyDescent="0.25">
      <c r="A1713" t="str">
        <f>"48.05"</f>
        <v>48.05</v>
      </c>
      <c r="B1713" t="s">
        <v>1616</v>
      </c>
      <c r="C1713" t="s">
        <v>7</v>
      </c>
      <c r="D1713" t="s">
        <v>11</v>
      </c>
      <c r="E1713" t="str">
        <f>"48.05"</f>
        <v>48.05</v>
      </c>
      <c r="F1713" t="s">
        <v>1616</v>
      </c>
    </row>
    <row r="1714" spans="1:6" x14ac:dyDescent="0.25">
      <c r="A1714" t="str">
        <f>"48.0501"</f>
        <v>48.0501</v>
      </c>
      <c r="B1714" t="s">
        <v>1617</v>
      </c>
      <c r="C1714" t="s">
        <v>7</v>
      </c>
      <c r="D1714" t="s">
        <v>11</v>
      </c>
      <c r="E1714" t="str">
        <f>"48.0501"</f>
        <v>48.0501</v>
      </c>
      <c r="F1714" t="s">
        <v>1617</v>
      </c>
    </row>
    <row r="1715" spans="1:6" x14ac:dyDescent="0.25">
      <c r="A1715" t="str">
        <f>"48.0503"</f>
        <v>48.0503</v>
      </c>
      <c r="B1715" t="s">
        <v>1618</v>
      </c>
      <c r="C1715" t="s">
        <v>7</v>
      </c>
      <c r="D1715" t="s">
        <v>11</v>
      </c>
      <c r="E1715" t="str">
        <f>"48.0503"</f>
        <v>48.0503</v>
      </c>
      <c r="F1715" t="s">
        <v>1618</v>
      </c>
    </row>
    <row r="1716" spans="1:6" x14ac:dyDescent="0.25">
      <c r="A1716" t="str">
        <f>"48.0506"</f>
        <v>48.0506</v>
      </c>
      <c r="B1716" t="s">
        <v>1619</v>
      </c>
      <c r="C1716" t="s">
        <v>7</v>
      </c>
      <c r="D1716" t="s">
        <v>11</v>
      </c>
      <c r="E1716" t="str">
        <f>"48.0506"</f>
        <v>48.0506</v>
      </c>
      <c r="F1716" t="s">
        <v>1619</v>
      </c>
    </row>
    <row r="1717" spans="1:6" x14ac:dyDescent="0.25">
      <c r="A1717" t="str">
        <f>"48.0507"</f>
        <v>48.0507</v>
      </c>
      <c r="B1717" t="s">
        <v>1620</v>
      </c>
      <c r="C1717" t="s">
        <v>7</v>
      </c>
      <c r="D1717" t="s">
        <v>11</v>
      </c>
      <c r="E1717" t="str">
        <f>"48.0507"</f>
        <v>48.0507</v>
      </c>
      <c r="F1717" t="s">
        <v>1620</v>
      </c>
    </row>
    <row r="1718" spans="1:6" x14ac:dyDescent="0.25">
      <c r="A1718" t="str">
        <f>"48.0508"</f>
        <v>48.0508</v>
      </c>
      <c r="B1718" t="s">
        <v>1621</v>
      </c>
      <c r="C1718" t="s">
        <v>7</v>
      </c>
      <c r="D1718" t="s">
        <v>11</v>
      </c>
      <c r="E1718" t="str">
        <f>"48.0508"</f>
        <v>48.0508</v>
      </c>
      <c r="F1718" t="s">
        <v>1621</v>
      </c>
    </row>
    <row r="1719" spans="1:6" x14ac:dyDescent="0.25">
      <c r="A1719" t="str">
        <f>"48.0509"</f>
        <v>48.0509</v>
      </c>
      <c r="B1719" t="s">
        <v>1622</v>
      </c>
      <c r="C1719" t="s">
        <v>7</v>
      </c>
      <c r="D1719" t="s">
        <v>11</v>
      </c>
      <c r="E1719" t="str">
        <f>"48.0509"</f>
        <v>48.0509</v>
      </c>
      <c r="F1719" t="s">
        <v>1622</v>
      </c>
    </row>
    <row r="1720" spans="1:6" x14ac:dyDescent="0.25">
      <c r="A1720" t="str">
        <f>"48.0510"</f>
        <v>48.0510</v>
      </c>
      <c r="B1720" t="s">
        <v>1623</v>
      </c>
      <c r="C1720" t="s">
        <v>7</v>
      </c>
      <c r="D1720" t="s">
        <v>11</v>
      </c>
      <c r="E1720" t="str">
        <f>"48.0510"</f>
        <v>48.0510</v>
      </c>
      <c r="F1720" t="s">
        <v>1623</v>
      </c>
    </row>
    <row r="1721" spans="1:6" x14ac:dyDescent="0.25">
      <c r="A1721" t="str">
        <f>"48.0511"</f>
        <v>48.0511</v>
      </c>
      <c r="B1721" t="s">
        <v>1624</v>
      </c>
      <c r="C1721" t="s">
        <v>7</v>
      </c>
      <c r="D1721" t="s">
        <v>11</v>
      </c>
      <c r="E1721" t="str">
        <f>"48.0511"</f>
        <v>48.0511</v>
      </c>
      <c r="F1721" t="s">
        <v>1624</v>
      </c>
    </row>
    <row r="1722" spans="1:6" x14ac:dyDescent="0.25">
      <c r="A1722" t="str">
        <f>"48.0599"</f>
        <v>48.0599</v>
      </c>
      <c r="B1722" t="s">
        <v>1625</v>
      </c>
      <c r="C1722" t="s">
        <v>7</v>
      </c>
      <c r="D1722" t="s">
        <v>11</v>
      </c>
      <c r="E1722" t="str">
        <f>"48.0599"</f>
        <v>48.0599</v>
      </c>
      <c r="F1722" t="s">
        <v>1625</v>
      </c>
    </row>
    <row r="1723" spans="1:6" x14ac:dyDescent="0.25">
      <c r="A1723" t="str">
        <f>"48.07"</f>
        <v>48.07</v>
      </c>
      <c r="B1723" t="s">
        <v>1626</v>
      </c>
      <c r="C1723" t="s">
        <v>7</v>
      </c>
      <c r="D1723" t="s">
        <v>11</v>
      </c>
      <c r="E1723" t="str">
        <f>"48.07"</f>
        <v>48.07</v>
      </c>
      <c r="F1723" t="s">
        <v>1626</v>
      </c>
    </row>
    <row r="1724" spans="1:6" x14ac:dyDescent="0.25">
      <c r="A1724" t="str">
        <f>"48.0701"</f>
        <v>48.0701</v>
      </c>
      <c r="B1724" t="s">
        <v>1627</v>
      </c>
      <c r="C1724" t="s">
        <v>7</v>
      </c>
      <c r="D1724" t="s">
        <v>11</v>
      </c>
      <c r="E1724" t="str">
        <f>"48.0701"</f>
        <v>48.0701</v>
      </c>
      <c r="F1724" t="s">
        <v>1627</v>
      </c>
    </row>
    <row r="1725" spans="1:6" x14ac:dyDescent="0.25">
      <c r="A1725" t="str">
        <f>"48.0702"</f>
        <v>48.0702</v>
      </c>
      <c r="B1725" t="s">
        <v>1628</v>
      </c>
      <c r="C1725" t="s">
        <v>7</v>
      </c>
      <c r="D1725" t="s">
        <v>11</v>
      </c>
      <c r="E1725" t="str">
        <f>"48.0702"</f>
        <v>48.0702</v>
      </c>
      <c r="F1725" t="s">
        <v>1628</v>
      </c>
    </row>
    <row r="1726" spans="1:6" x14ac:dyDescent="0.25">
      <c r="A1726" t="str">
        <f>"48.0703"</f>
        <v>48.0703</v>
      </c>
      <c r="B1726" t="s">
        <v>1629</v>
      </c>
      <c r="C1726" t="s">
        <v>7</v>
      </c>
      <c r="D1726" t="s">
        <v>11</v>
      </c>
      <c r="E1726" t="str">
        <f>"48.0703"</f>
        <v>48.0703</v>
      </c>
      <c r="F1726" t="s">
        <v>1629</v>
      </c>
    </row>
    <row r="1727" spans="1:6" x14ac:dyDescent="0.25">
      <c r="C1727" t="s">
        <v>26</v>
      </c>
      <c r="D1727" t="s">
        <v>11</v>
      </c>
      <c r="E1727" t="str">
        <f>"48.0704"</f>
        <v>48.0704</v>
      </c>
      <c r="F1727" t="s">
        <v>1630</v>
      </c>
    </row>
    <row r="1728" spans="1:6" x14ac:dyDescent="0.25">
      <c r="A1728" t="str">
        <f>"48.0799"</f>
        <v>48.0799</v>
      </c>
      <c r="B1728" t="s">
        <v>1631</v>
      </c>
      <c r="C1728" t="s">
        <v>7</v>
      </c>
      <c r="D1728" t="s">
        <v>11</v>
      </c>
      <c r="E1728" t="str">
        <f>"48.0799"</f>
        <v>48.0799</v>
      </c>
      <c r="F1728" t="s">
        <v>1631</v>
      </c>
    </row>
    <row r="1729" spans="1:6" x14ac:dyDescent="0.25">
      <c r="A1729" t="str">
        <f>"48.08"</f>
        <v>48.08</v>
      </c>
      <c r="B1729" t="s">
        <v>1632</v>
      </c>
      <c r="C1729" t="s">
        <v>7</v>
      </c>
      <c r="D1729" t="s">
        <v>11</v>
      </c>
      <c r="E1729" t="str">
        <f>"48.08"</f>
        <v>48.08</v>
      </c>
      <c r="F1729" t="s">
        <v>1632</v>
      </c>
    </row>
    <row r="1730" spans="1:6" x14ac:dyDescent="0.25">
      <c r="A1730" t="str">
        <f>"48.0801"</f>
        <v>48.0801</v>
      </c>
      <c r="B1730" t="s">
        <v>1632</v>
      </c>
      <c r="C1730" t="s">
        <v>7</v>
      </c>
      <c r="D1730" t="s">
        <v>11</v>
      </c>
      <c r="E1730" t="str">
        <f>"48.0801"</f>
        <v>48.0801</v>
      </c>
      <c r="F1730" t="s">
        <v>1632</v>
      </c>
    </row>
    <row r="1731" spans="1:6" x14ac:dyDescent="0.25">
      <c r="A1731" t="str">
        <f>"48.99"</f>
        <v>48.99</v>
      </c>
      <c r="B1731" t="s">
        <v>1633</v>
      </c>
      <c r="C1731" t="s">
        <v>7</v>
      </c>
      <c r="D1731" t="s">
        <v>11</v>
      </c>
      <c r="E1731" t="str">
        <f>"48.99"</f>
        <v>48.99</v>
      </c>
      <c r="F1731" t="s">
        <v>1633</v>
      </c>
    </row>
    <row r="1732" spans="1:6" x14ac:dyDescent="0.25">
      <c r="A1732" t="str">
        <f>"48.9999"</f>
        <v>48.9999</v>
      </c>
      <c r="B1732" t="s">
        <v>1633</v>
      </c>
      <c r="C1732" t="s">
        <v>7</v>
      </c>
      <c r="D1732" t="s">
        <v>11</v>
      </c>
      <c r="E1732" t="str">
        <f>"48.9999"</f>
        <v>48.9999</v>
      </c>
      <c r="F1732" t="s">
        <v>1633</v>
      </c>
    </row>
    <row r="1733" spans="1:6" x14ac:dyDescent="0.25">
      <c r="A1733" t="str">
        <f>"49"</f>
        <v>49</v>
      </c>
      <c r="B1733" t="s">
        <v>1634</v>
      </c>
      <c r="C1733" t="s">
        <v>7</v>
      </c>
      <c r="D1733" t="s">
        <v>11</v>
      </c>
      <c r="E1733" t="str">
        <f>"49"</f>
        <v>49</v>
      </c>
      <c r="F1733" t="s">
        <v>1634</v>
      </c>
    </row>
    <row r="1734" spans="1:6" x14ac:dyDescent="0.25">
      <c r="A1734" t="str">
        <f>"49.01"</f>
        <v>49.01</v>
      </c>
      <c r="B1734" t="s">
        <v>1635</v>
      </c>
      <c r="C1734" t="s">
        <v>7</v>
      </c>
      <c r="D1734" t="s">
        <v>11</v>
      </c>
      <c r="E1734" t="str">
        <f>"49.01"</f>
        <v>49.01</v>
      </c>
      <c r="F1734" t="s">
        <v>1635</v>
      </c>
    </row>
    <row r="1735" spans="1:6" x14ac:dyDescent="0.25">
      <c r="A1735" t="str">
        <f>"49.0101"</f>
        <v>49.0101</v>
      </c>
      <c r="B1735" t="s">
        <v>1636</v>
      </c>
      <c r="C1735" t="s">
        <v>7</v>
      </c>
      <c r="D1735" t="s">
        <v>11</v>
      </c>
      <c r="E1735" t="str">
        <f>"49.0101"</f>
        <v>49.0101</v>
      </c>
      <c r="F1735" t="s">
        <v>1636</v>
      </c>
    </row>
    <row r="1736" spans="1:6" x14ac:dyDescent="0.25">
      <c r="A1736" t="str">
        <f>"49.0102"</f>
        <v>49.0102</v>
      </c>
      <c r="B1736" t="s">
        <v>1637</v>
      </c>
      <c r="C1736" t="s">
        <v>7</v>
      </c>
      <c r="D1736" t="s">
        <v>11</v>
      </c>
      <c r="E1736" t="str">
        <f>"49.0102"</f>
        <v>49.0102</v>
      </c>
      <c r="F1736" t="s">
        <v>1637</v>
      </c>
    </row>
    <row r="1737" spans="1:6" x14ac:dyDescent="0.25">
      <c r="A1737" t="str">
        <f>"49.0104"</f>
        <v>49.0104</v>
      </c>
      <c r="B1737" t="s">
        <v>1638</v>
      </c>
      <c r="C1737" t="s">
        <v>7</v>
      </c>
      <c r="D1737" t="s">
        <v>11</v>
      </c>
      <c r="E1737" t="str">
        <f>"49.0104"</f>
        <v>49.0104</v>
      </c>
      <c r="F1737" t="s">
        <v>1638</v>
      </c>
    </row>
    <row r="1738" spans="1:6" x14ac:dyDescent="0.25">
      <c r="A1738" t="str">
        <f>"49.0105"</f>
        <v>49.0105</v>
      </c>
      <c r="B1738" t="s">
        <v>1639</v>
      </c>
      <c r="C1738" t="s">
        <v>7</v>
      </c>
      <c r="D1738" t="s">
        <v>11</v>
      </c>
      <c r="E1738" t="str">
        <f>"49.0105"</f>
        <v>49.0105</v>
      </c>
      <c r="F1738" t="s">
        <v>1639</v>
      </c>
    </row>
    <row r="1739" spans="1:6" x14ac:dyDescent="0.25">
      <c r="A1739" t="str">
        <f>"49.0106"</f>
        <v>49.0106</v>
      </c>
      <c r="B1739" t="s">
        <v>1640</v>
      </c>
      <c r="C1739" t="s">
        <v>7</v>
      </c>
      <c r="D1739" t="s">
        <v>11</v>
      </c>
      <c r="E1739" t="str">
        <f>"49.0106"</f>
        <v>49.0106</v>
      </c>
      <c r="F1739" t="s">
        <v>1640</v>
      </c>
    </row>
    <row r="1740" spans="1:6" x14ac:dyDescent="0.25">
      <c r="A1740" t="str">
        <f>"49.0108"</f>
        <v>49.0108</v>
      </c>
      <c r="B1740" t="s">
        <v>1641</v>
      </c>
      <c r="C1740" t="s">
        <v>7</v>
      </c>
      <c r="D1740" t="s">
        <v>11</v>
      </c>
      <c r="E1740" t="str">
        <f>"49.0108"</f>
        <v>49.0108</v>
      </c>
      <c r="F1740" t="s">
        <v>1641</v>
      </c>
    </row>
    <row r="1741" spans="1:6" x14ac:dyDescent="0.25">
      <c r="C1741" t="s">
        <v>26</v>
      </c>
      <c r="D1741" t="s">
        <v>11</v>
      </c>
      <c r="E1741" t="str">
        <f>"49.0109"</f>
        <v>49.0109</v>
      </c>
      <c r="F1741" t="s">
        <v>1642</v>
      </c>
    </row>
    <row r="1742" spans="1:6" x14ac:dyDescent="0.25">
      <c r="A1742" t="str">
        <f>"49.0199"</f>
        <v>49.0199</v>
      </c>
      <c r="B1742" t="s">
        <v>1643</v>
      </c>
      <c r="C1742" t="s">
        <v>7</v>
      </c>
      <c r="D1742" t="s">
        <v>11</v>
      </c>
      <c r="E1742" t="str">
        <f>"49.0199"</f>
        <v>49.0199</v>
      </c>
      <c r="F1742" t="s">
        <v>1643</v>
      </c>
    </row>
    <row r="1743" spans="1:6" x14ac:dyDescent="0.25">
      <c r="A1743" t="str">
        <f>"49.02"</f>
        <v>49.02</v>
      </c>
      <c r="B1743" t="s">
        <v>1644</v>
      </c>
      <c r="C1743" t="s">
        <v>7</v>
      </c>
      <c r="D1743" t="s">
        <v>11</v>
      </c>
      <c r="E1743" t="str">
        <f>"49.02"</f>
        <v>49.02</v>
      </c>
      <c r="F1743" t="s">
        <v>1644</v>
      </c>
    </row>
    <row r="1744" spans="1:6" x14ac:dyDescent="0.25">
      <c r="A1744" t="str">
        <f>"49.0202"</f>
        <v>49.0202</v>
      </c>
      <c r="B1744" t="s">
        <v>1645</v>
      </c>
      <c r="C1744" t="s">
        <v>7</v>
      </c>
      <c r="D1744" t="s">
        <v>11</v>
      </c>
      <c r="E1744" t="str">
        <f>"49.0202"</f>
        <v>49.0202</v>
      </c>
      <c r="F1744" t="s">
        <v>1645</v>
      </c>
    </row>
    <row r="1745" spans="1:6" x14ac:dyDescent="0.25">
      <c r="A1745" t="str">
        <f>"49.0205"</f>
        <v>49.0205</v>
      </c>
      <c r="B1745" t="s">
        <v>1646</v>
      </c>
      <c r="C1745" t="s">
        <v>7</v>
      </c>
      <c r="D1745" t="s">
        <v>11</v>
      </c>
      <c r="E1745" t="str">
        <f>"49.0205"</f>
        <v>49.0205</v>
      </c>
      <c r="F1745" t="s">
        <v>1646</v>
      </c>
    </row>
    <row r="1746" spans="1:6" x14ac:dyDescent="0.25">
      <c r="A1746" t="str">
        <f>"49.0206"</f>
        <v>49.0206</v>
      </c>
      <c r="B1746" t="s">
        <v>1647</v>
      </c>
      <c r="C1746" t="s">
        <v>7</v>
      </c>
      <c r="D1746" t="s">
        <v>8</v>
      </c>
      <c r="E1746" t="str">
        <f>"49.0206"</f>
        <v>49.0206</v>
      </c>
      <c r="F1746" t="s">
        <v>1648</v>
      </c>
    </row>
    <row r="1747" spans="1:6" x14ac:dyDescent="0.25">
      <c r="A1747" t="str">
        <f>"49.0207"</f>
        <v>49.0207</v>
      </c>
      <c r="B1747" t="s">
        <v>1649</v>
      </c>
      <c r="C1747" t="s">
        <v>7</v>
      </c>
      <c r="D1747" t="s">
        <v>11</v>
      </c>
      <c r="E1747" t="str">
        <f>"49.0207"</f>
        <v>49.0207</v>
      </c>
      <c r="F1747" t="s">
        <v>1649</v>
      </c>
    </row>
    <row r="1748" spans="1:6" x14ac:dyDescent="0.25">
      <c r="A1748" t="str">
        <f>"49.0208"</f>
        <v>49.0208</v>
      </c>
      <c r="B1748" t="s">
        <v>1650</v>
      </c>
      <c r="C1748" t="s">
        <v>7</v>
      </c>
      <c r="D1748" t="s">
        <v>11</v>
      </c>
      <c r="E1748" t="str">
        <f>"49.0208"</f>
        <v>49.0208</v>
      </c>
      <c r="F1748" t="s">
        <v>1650</v>
      </c>
    </row>
    <row r="1749" spans="1:6" x14ac:dyDescent="0.25">
      <c r="C1749" t="s">
        <v>26</v>
      </c>
      <c r="D1749" t="s">
        <v>11</v>
      </c>
      <c r="E1749" t="str">
        <f>"49.0209"</f>
        <v>49.0209</v>
      </c>
      <c r="F1749" t="s">
        <v>1651</v>
      </c>
    </row>
    <row r="1750" spans="1:6" x14ac:dyDescent="0.25">
      <c r="A1750" t="str">
        <f>"49.0299"</f>
        <v>49.0299</v>
      </c>
      <c r="B1750" t="s">
        <v>1652</v>
      </c>
      <c r="C1750" t="s">
        <v>7</v>
      </c>
      <c r="D1750" t="s">
        <v>11</v>
      </c>
      <c r="E1750" t="str">
        <f>"49.0299"</f>
        <v>49.0299</v>
      </c>
      <c r="F1750" t="s">
        <v>1652</v>
      </c>
    </row>
    <row r="1751" spans="1:6" x14ac:dyDescent="0.25">
      <c r="A1751" t="str">
        <f>"49.03"</f>
        <v>49.03</v>
      </c>
      <c r="B1751" t="s">
        <v>1653</v>
      </c>
      <c r="C1751" t="s">
        <v>7</v>
      </c>
      <c r="D1751" t="s">
        <v>11</v>
      </c>
      <c r="E1751" t="str">
        <f>"49.03"</f>
        <v>49.03</v>
      </c>
      <c r="F1751" t="s">
        <v>1653</v>
      </c>
    </row>
    <row r="1752" spans="1:6" x14ac:dyDescent="0.25">
      <c r="A1752" t="str">
        <f>"49.0303"</f>
        <v>49.0303</v>
      </c>
      <c r="B1752" t="s">
        <v>1654</v>
      </c>
      <c r="C1752" t="s">
        <v>7</v>
      </c>
      <c r="D1752" t="s">
        <v>11</v>
      </c>
      <c r="E1752" t="str">
        <f>"49.0303"</f>
        <v>49.0303</v>
      </c>
      <c r="F1752" t="s">
        <v>1654</v>
      </c>
    </row>
    <row r="1753" spans="1:6" x14ac:dyDescent="0.25">
      <c r="A1753" t="str">
        <f>"49.0304"</f>
        <v>49.0304</v>
      </c>
      <c r="B1753" t="s">
        <v>1655</v>
      </c>
      <c r="C1753" t="s">
        <v>7</v>
      </c>
      <c r="D1753" t="s">
        <v>11</v>
      </c>
      <c r="E1753" t="str">
        <f>"49.0304"</f>
        <v>49.0304</v>
      </c>
      <c r="F1753" t="s">
        <v>1655</v>
      </c>
    </row>
    <row r="1754" spans="1:6" x14ac:dyDescent="0.25">
      <c r="A1754" t="str">
        <f>"49.0309"</f>
        <v>49.0309</v>
      </c>
      <c r="B1754" t="s">
        <v>1656</v>
      </c>
      <c r="C1754" t="s">
        <v>7</v>
      </c>
      <c r="D1754" t="s">
        <v>11</v>
      </c>
      <c r="E1754" t="str">
        <f>"49.0309"</f>
        <v>49.0309</v>
      </c>
      <c r="F1754" t="s">
        <v>1656</v>
      </c>
    </row>
    <row r="1755" spans="1:6" x14ac:dyDescent="0.25">
      <c r="A1755" t="str">
        <f>"49.0399"</f>
        <v>49.0399</v>
      </c>
      <c r="B1755" t="s">
        <v>1657</v>
      </c>
      <c r="C1755" t="s">
        <v>7</v>
      </c>
      <c r="D1755" t="s">
        <v>11</v>
      </c>
      <c r="E1755" t="str">
        <f>"49.0399"</f>
        <v>49.0399</v>
      </c>
      <c r="F1755" t="s">
        <v>1657</v>
      </c>
    </row>
    <row r="1756" spans="1:6" x14ac:dyDescent="0.25">
      <c r="A1756" t="str">
        <f>"49.99"</f>
        <v>49.99</v>
      </c>
      <c r="B1756" t="s">
        <v>1658</v>
      </c>
      <c r="C1756" t="s">
        <v>7</v>
      </c>
      <c r="D1756" t="s">
        <v>11</v>
      </c>
      <c r="E1756" t="str">
        <f>"49.99"</f>
        <v>49.99</v>
      </c>
      <c r="F1756" t="s">
        <v>1658</v>
      </c>
    </row>
    <row r="1757" spans="1:6" x14ac:dyDescent="0.25">
      <c r="A1757" t="str">
        <f>"49.9999"</f>
        <v>49.9999</v>
      </c>
      <c r="B1757" t="s">
        <v>1658</v>
      </c>
      <c r="C1757" t="s">
        <v>7</v>
      </c>
      <c r="D1757" t="s">
        <v>11</v>
      </c>
      <c r="E1757" t="str">
        <f>"49.9999"</f>
        <v>49.9999</v>
      </c>
      <c r="F1757" t="s">
        <v>1658</v>
      </c>
    </row>
    <row r="1758" spans="1:6" x14ac:dyDescent="0.25">
      <c r="A1758" t="str">
        <f>"50"</f>
        <v>50</v>
      </c>
      <c r="B1758" t="s">
        <v>1659</v>
      </c>
      <c r="C1758" t="s">
        <v>7</v>
      </c>
      <c r="D1758" t="s">
        <v>11</v>
      </c>
      <c r="E1758" t="str">
        <f>"50"</f>
        <v>50</v>
      </c>
      <c r="F1758" t="s">
        <v>1659</v>
      </c>
    </row>
    <row r="1759" spans="1:6" x14ac:dyDescent="0.25">
      <c r="A1759" t="str">
        <f>"50.01"</f>
        <v>50.01</v>
      </c>
      <c r="B1759" t="s">
        <v>1660</v>
      </c>
      <c r="C1759" t="s">
        <v>7</v>
      </c>
      <c r="D1759" t="s">
        <v>11</v>
      </c>
      <c r="E1759" t="str">
        <f>"50.01"</f>
        <v>50.01</v>
      </c>
      <c r="F1759" t="s">
        <v>1660</v>
      </c>
    </row>
    <row r="1760" spans="1:6" x14ac:dyDescent="0.25">
      <c r="A1760" t="str">
        <f>"50.0101"</f>
        <v>50.0101</v>
      </c>
      <c r="B1760" t="s">
        <v>1660</v>
      </c>
      <c r="C1760" t="s">
        <v>7</v>
      </c>
      <c r="D1760" t="s">
        <v>11</v>
      </c>
      <c r="E1760" t="str">
        <f>"50.0101"</f>
        <v>50.0101</v>
      </c>
      <c r="F1760" t="s">
        <v>1660</v>
      </c>
    </row>
    <row r="1761" spans="1:6" x14ac:dyDescent="0.25">
      <c r="A1761" t="str">
        <f>"50.0102"</f>
        <v>50.0102</v>
      </c>
      <c r="B1761" t="s">
        <v>1661</v>
      </c>
      <c r="C1761" t="s">
        <v>7</v>
      </c>
      <c r="D1761" t="s">
        <v>11</v>
      </c>
      <c r="E1761" t="str">
        <f>"50.0102"</f>
        <v>50.0102</v>
      </c>
      <c r="F1761" t="s">
        <v>1661</v>
      </c>
    </row>
    <row r="1762" spans="1:6" x14ac:dyDescent="0.25">
      <c r="A1762" t="str">
        <f>"50.02"</f>
        <v>50.02</v>
      </c>
      <c r="B1762" t="s">
        <v>1662</v>
      </c>
      <c r="C1762" t="s">
        <v>7</v>
      </c>
      <c r="D1762" t="s">
        <v>11</v>
      </c>
      <c r="E1762" t="str">
        <f>"50.02"</f>
        <v>50.02</v>
      </c>
      <c r="F1762" t="s">
        <v>1662</v>
      </c>
    </row>
    <row r="1763" spans="1:6" x14ac:dyDescent="0.25">
      <c r="A1763" t="str">
        <f>"50.0201"</f>
        <v>50.0201</v>
      </c>
      <c r="B1763" t="s">
        <v>1662</v>
      </c>
      <c r="C1763" t="s">
        <v>7</v>
      </c>
      <c r="D1763" t="s">
        <v>11</v>
      </c>
      <c r="E1763" t="str">
        <f>"50.0201"</f>
        <v>50.0201</v>
      </c>
      <c r="F1763" t="s">
        <v>1662</v>
      </c>
    </row>
    <row r="1764" spans="1:6" x14ac:dyDescent="0.25">
      <c r="A1764" t="str">
        <f>"50.03"</f>
        <v>50.03</v>
      </c>
      <c r="B1764" t="s">
        <v>1663</v>
      </c>
      <c r="C1764" t="s">
        <v>7</v>
      </c>
      <c r="D1764" t="s">
        <v>11</v>
      </c>
      <c r="E1764" t="str">
        <f>"50.03"</f>
        <v>50.03</v>
      </c>
      <c r="F1764" t="s">
        <v>1663</v>
      </c>
    </row>
    <row r="1765" spans="1:6" x14ac:dyDescent="0.25">
      <c r="A1765" t="str">
        <f>"50.0301"</f>
        <v>50.0301</v>
      </c>
      <c r="B1765" t="s">
        <v>1664</v>
      </c>
      <c r="C1765" t="s">
        <v>7</v>
      </c>
      <c r="D1765" t="s">
        <v>11</v>
      </c>
      <c r="E1765" t="str">
        <f>"50.0301"</f>
        <v>50.0301</v>
      </c>
      <c r="F1765" t="s">
        <v>1664</v>
      </c>
    </row>
    <row r="1766" spans="1:6" x14ac:dyDescent="0.25">
      <c r="A1766" t="str">
        <f>"50.0302"</f>
        <v>50.0302</v>
      </c>
      <c r="B1766" t="s">
        <v>1665</v>
      </c>
      <c r="C1766" t="s">
        <v>7</v>
      </c>
      <c r="D1766" t="s">
        <v>11</v>
      </c>
      <c r="E1766" t="str">
        <f>"50.0302"</f>
        <v>50.0302</v>
      </c>
      <c r="F1766" t="s">
        <v>1665</v>
      </c>
    </row>
    <row r="1767" spans="1:6" x14ac:dyDescent="0.25">
      <c r="A1767" t="str">
        <f>"50.0399"</f>
        <v>50.0399</v>
      </c>
      <c r="B1767" t="s">
        <v>1666</v>
      </c>
      <c r="C1767" t="s">
        <v>7</v>
      </c>
      <c r="D1767" t="s">
        <v>11</v>
      </c>
      <c r="E1767" t="str">
        <f>"50.0399"</f>
        <v>50.0399</v>
      </c>
      <c r="F1767" t="s">
        <v>1666</v>
      </c>
    </row>
    <row r="1768" spans="1:6" x14ac:dyDescent="0.25">
      <c r="A1768" t="str">
        <f>"50.04"</f>
        <v>50.04</v>
      </c>
      <c r="B1768" t="s">
        <v>1667</v>
      </c>
      <c r="C1768" t="s">
        <v>7</v>
      </c>
      <c r="D1768" t="s">
        <v>11</v>
      </c>
      <c r="E1768" t="str">
        <f>"50.04"</f>
        <v>50.04</v>
      </c>
      <c r="F1768" t="s">
        <v>1667</v>
      </c>
    </row>
    <row r="1769" spans="1:6" x14ac:dyDescent="0.25">
      <c r="A1769" t="str">
        <f>"50.0401"</f>
        <v>50.0401</v>
      </c>
      <c r="B1769" t="s">
        <v>1668</v>
      </c>
      <c r="C1769" t="s">
        <v>7</v>
      </c>
      <c r="D1769" t="s">
        <v>11</v>
      </c>
      <c r="E1769" t="str">
        <f>"50.0401"</f>
        <v>50.0401</v>
      </c>
      <c r="F1769" t="s">
        <v>1668</v>
      </c>
    </row>
    <row r="1770" spans="1:6" x14ac:dyDescent="0.25">
      <c r="A1770" t="str">
        <f>"50.0402"</f>
        <v>50.0402</v>
      </c>
      <c r="B1770" t="s">
        <v>1669</v>
      </c>
      <c r="C1770" t="s">
        <v>7</v>
      </c>
      <c r="D1770" t="s">
        <v>11</v>
      </c>
      <c r="E1770" t="str">
        <f>"50.0402"</f>
        <v>50.0402</v>
      </c>
      <c r="F1770" t="s">
        <v>1669</v>
      </c>
    </row>
    <row r="1771" spans="1:6" x14ac:dyDescent="0.25">
      <c r="A1771" t="str">
        <f>"50.0404"</f>
        <v>50.0404</v>
      </c>
      <c r="B1771" t="s">
        <v>1670</v>
      </c>
      <c r="C1771" t="s">
        <v>7</v>
      </c>
      <c r="D1771" t="s">
        <v>11</v>
      </c>
      <c r="E1771" t="str">
        <f>"50.0404"</f>
        <v>50.0404</v>
      </c>
      <c r="F1771" t="s">
        <v>1670</v>
      </c>
    </row>
    <row r="1772" spans="1:6" x14ac:dyDescent="0.25">
      <c r="A1772" t="str">
        <f>"50.0406"</f>
        <v>50.0406</v>
      </c>
      <c r="B1772" t="s">
        <v>1671</v>
      </c>
      <c r="C1772" t="s">
        <v>7</v>
      </c>
      <c r="D1772" t="s">
        <v>11</v>
      </c>
      <c r="E1772" t="str">
        <f>"50.0406"</f>
        <v>50.0406</v>
      </c>
      <c r="F1772" t="s">
        <v>1671</v>
      </c>
    </row>
    <row r="1773" spans="1:6" x14ac:dyDescent="0.25">
      <c r="A1773" t="str">
        <f>"50.0407"</f>
        <v>50.0407</v>
      </c>
      <c r="B1773" t="s">
        <v>1672</v>
      </c>
      <c r="C1773" t="s">
        <v>7</v>
      </c>
      <c r="D1773" t="s">
        <v>11</v>
      </c>
      <c r="E1773" t="str">
        <f>"50.0407"</f>
        <v>50.0407</v>
      </c>
      <c r="F1773" t="s">
        <v>1672</v>
      </c>
    </row>
    <row r="1774" spans="1:6" x14ac:dyDescent="0.25">
      <c r="A1774" t="str">
        <f>"50.0408"</f>
        <v>50.0408</v>
      </c>
      <c r="B1774" t="s">
        <v>1673</v>
      </c>
      <c r="C1774" t="s">
        <v>7</v>
      </c>
      <c r="D1774" t="s">
        <v>11</v>
      </c>
      <c r="E1774" t="str">
        <f>"50.0408"</f>
        <v>50.0408</v>
      </c>
      <c r="F1774" t="s">
        <v>1673</v>
      </c>
    </row>
    <row r="1775" spans="1:6" x14ac:dyDescent="0.25">
      <c r="A1775" t="str">
        <f>"50.0409"</f>
        <v>50.0409</v>
      </c>
      <c r="B1775" t="s">
        <v>1674</v>
      </c>
      <c r="C1775" t="s">
        <v>7</v>
      </c>
      <c r="D1775" t="s">
        <v>11</v>
      </c>
      <c r="E1775" t="str">
        <f>"50.0409"</f>
        <v>50.0409</v>
      </c>
      <c r="F1775" t="s">
        <v>1674</v>
      </c>
    </row>
    <row r="1776" spans="1:6" x14ac:dyDescent="0.25">
      <c r="A1776" t="str">
        <f>"50.0410"</f>
        <v>50.0410</v>
      </c>
      <c r="B1776" t="s">
        <v>1675</v>
      </c>
      <c r="C1776" t="s">
        <v>7</v>
      </c>
      <c r="D1776" t="s">
        <v>11</v>
      </c>
      <c r="E1776" t="str">
        <f>"50.0410"</f>
        <v>50.0410</v>
      </c>
      <c r="F1776" t="s">
        <v>1675</v>
      </c>
    </row>
    <row r="1777" spans="1:6" x14ac:dyDescent="0.25">
      <c r="A1777" t="str">
        <f>"50.0411"</f>
        <v>50.0411</v>
      </c>
      <c r="B1777" t="s">
        <v>1676</v>
      </c>
      <c r="C1777" t="s">
        <v>7</v>
      </c>
      <c r="D1777" t="s">
        <v>11</v>
      </c>
      <c r="E1777" t="str">
        <f>"50.0411"</f>
        <v>50.0411</v>
      </c>
      <c r="F1777" t="s">
        <v>1676</v>
      </c>
    </row>
    <row r="1778" spans="1:6" x14ac:dyDescent="0.25">
      <c r="A1778" t="str">
        <f>"50.0499"</f>
        <v>50.0499</v>
      </c>
      <c r="B1778" t="s">
        <v>1677</v>
      </c>
      <c r="C1778" t="s">
        <v>7</v>
      </c>
      <c r="D1778" t="s">
        <v>11</v>
      </c>
      <c r="E1778" t="str">
        <f>"50.0499"</f>
        <v>50.0499</v>
      </c>
      <c r="F1778" t="s">
        <v>1677</v>
      </c>
    </row>
    <row r="1779" spans="1:6" x14ac:dyDescent="0.25">
      <c r="A1779" t="str">
        <f>"50.05"</f>
        <v>50.05</v>
      </c>
      <c r="B1779" t="s">
        <v>1678</v>
      </c>
      <c r="C1779" t="s">
        <v>7</v>
      </c>
      <c r="D1779" t="s">
        <v>11</v>
      </c>
      <c r="E1779" t="str">
        <f>"50.05"</f>
        <v>50.05</v>
      </c>
      <c r="F1779" t="s">
        <v>1678</v>
      </c>
    </row>
    <row r="1780" spans="1:6" x14ac:dyDescent="0.25">
      <c r="A1780" t="str">
        <f>"50.0501"</f>
        <v>50.0501</v>
      </c>
      <c r="B1780" t="s">
        <v>1679</v>
      </c>
      <c r="C1780" t="s">
        <v>7</v>
      </c>
      <c r="D1780" t="s">
        <v>11</v>
      </c>
      <c r="E1780" t="str">
        <f>"50.0501"</f>
        <v>50.0501</v>
      </c>
      <c r="F1780" t="s">
        <v>1679</v>
      </c>
    </row>
    <row r="1781" spans="1:6" x14ac:dyDescent="0.25">
      <c r="A1781" t="str">
        <f>"50.0502"</f>
        <v>50.0502</v>
      </c>
      <c r="B1781" t="s">
        <v>1680</v>
      </c>
      <c r="C1781" t="s">
        <v>7</v>
      </c>
      <c r="D1781" t="s">
        <v>11</v>
      </c>
      <c r="E1781" t="str">
        <f>"50.0502"</f>
        <v>50.0502</v>
      </c>
      <c r="F1781" t="s">
        <v>1680</v>
      </c>
    </row>
    <row r="1782" spans="1:6" x14ac:dyDescent="0.25">
      <c r="A1782" t="str">
        <f>"50.0504"</f>
        <v>50.0504</v>
      </c>
      <c r="B1782" t="s">
        <v>1681</v>
      </c>
      <c r="C1782" t="s">
        <v>7</v>
      </c>
      <c r="D1782" t="s">
        <v>11</v>
      </c>
      <c r="E1782" t="str">
        <f>"50.0504"</f>
        <v>50.0504</v>
      </c>
      <c r="F1782" t="s">
        <v>1681</v>
      </c>
    </row>
    <row r="1783" spans="1:6" x14ac:dyDescent="0.25">
      <c r="A1783" t="str">
        <f>"50.0505"</f>
        <v>50.0505</v>
      </c>
      <c r="B1783" t="s">
        <v>1682</v>
      </c>
      <c r="C1783" t="s">
        <v>7</v>
      </c>
      <c r="D1783" t="s">
        <v>11</v>
      </c>
      <c r="E1783" t="str">
        <f>"50.0505"</f>
        <v>50.0505</v>
      </c>
      <c r="F1783" t="s">
        <v>1682</v>
      </c>
    </row>
    <row r="1784" spans="1:6" x14ac:dyDescent="0.25">
      <c r="A1784" t="str">
        <f>"50.0506"</f>
        <v>50.0506</v>
      </c>
      <c r="B1784" t="s">
        <v>1683</v>
      </c>
      <c r="C1784" t="s">
        <v>7</v>
      </c>
      <c r="D1784" t="s">
        <v>11</v>
      </c>
      <c r="E1784" t="str">
        <f>"50.0506"</f>
        <v>50.0506</v>
      </c>
      <c r="F1784" t="s">
        <v>1683</v>
      </c>
    </row>
    <row r="1785" spans="1:6" x14ac:dyDescent="0.25">
      <c r="A1785" t="str">
        <f>"50.0507"</f>
        <v>50.0507</v>
      </c>
      <c r="B1785" t="s">
        <v>1684</v>
      </c>
      <c r="C1785" t="s">
        <v>7</v>
      </c>
      <c r="D1785" t="s">
        <v>11</v>
      </c>
      <c r="E1785" t="str">
        <f>"50.0507"</f>
        <v>50.0507</v>
      </c>
      <c r="F1785" t="s">
        <v>1684</v>
      </c>
    </row>
    <row r="1786" spans="1:6" x14ac:dyDescent="0.25">
      <c r="A1786" t="str">
        <f>"50.0509"</f>
        <v>50.0509</v>
      </c>
      <c r="B1786" t="s">
        <v>1685</v>
      </c>
      <c r="C1786" t="s">
        <v>7</v>
      </c>
      <c r="D1786" t="s">
        <v>11</v>
      </c>
      <c r="E1786" t="str">
        <f>"50.0509"</f>
        <v>50.0509</v>
      </c>
      <c r="F1786" t="s">
        <v>1685</v>
      </c>
    </row>
    <row r="1787" spans="1:6" x14ac:dyDescent="0.25">
      <c r="A1787" t="str">
        <f>"50.0510"</f>
        <v>50.0510</v>
      </c>
      <c r="B1787" t="s">
        <v>1686</v>
      </c>
      <c r="C1787" t="s">
        <v>7</v>
      </c>
      <c r="D1787" t="s">
        <v>11</v>
      </c>
      <c r="E1787" t="str">
        <f>"50.0510"</f>
        <v>50.0510</v>
      </c>
      <c r="F1787" t="s">
        <v>1686</v>
      </c>
    </row>
    <row r="1788" spans="1:6" x14ac:dyDescent="0.25">
      <c r="C1788" t="s">
        <v>26</v>
      </c>
      <c r="D1788" t="s">
        <v>11</v>
      </c>
      <c r="E1788" t="str">
        <f>"50.0511"</f>
        <v>50.0511</v>
      </c>
      <c r="F1788" t="s">
        <v>1687</v>
      </c>
    </row>
    <row r="1789" spans="1:6" x14ac:dyDescent="0.25">
      <c r="C1789" t="s">
        <v>26</v>
      </c>
      <c r="D1789" t="s">
        <v>11</v>
      </c>
      <c r="E1789" t="str">
        <f>"50.0512"</f>
        <v>50.0512</v>
      </c>
      <c r="F1789" t="s">
        <v>1688</v>
      </c>
    </row>
    <row r="1790" spans="1:6" x14ac:dyDescent="0.25">
      <c r="A1790" t="str">
        <f>"50.0599"</f>
        <v>50.0599</v>
      </c>
      <c r="B1790" t="s">
        <v>1689</v>
      </c>
      <c r="C1790" t="s">
        <v>7</v>
      </c>
      <c r="D1790" t="s">
        <v>11</v>
      </c>
      <c r="E1790" t="str">
        <f>"50.0599"</f>
        <v>50.0599</v>
      </c>
      <c r="F1790" t="s">
        <v>1689</v>
      </c>
    </row>
    <row r="1791" spans="1:6" x14ac:dyDescent="0.25">
      <c r="A1791" t="str">
        <f>"50.06"</f>
        <v>50.06</v>
      </c>
      <c r="B1791" t="s">
        <v>1690</v>
      </c>
      <c r="C1791" t="s">
        <v>7</v>
      </c>
      <c r="D1791" t="s">
        <v>11</v>
      </c>
      <c r="E1791" t="str">
        <f>"50.06"</f>
        <v>50.06</v>
      </c>
      <c r="F1791" t="s">
        <v>1690</v>
      </c>
    </row>
    <row r="1792" spans="1:6" x14ac:dyDescent="0.25">
      <c r="A1792" t="str">
        <f>"50.0601"</f>
        <v>50.0601</v>
      </c>
      <c r="B1792" t="s">
        <v>1691</v>
      </c>
      <c r="C1792" t="s">
        <v>7</v>
      </c>
      <c r="D1792" t="s">
        <v>8</v>
      </c>
      <c r="E1792" t="str">
        <f>"50.0601"</f>
        <v>50.0601</v>
      </c>
      <c r="F1792" t="s">
        <v>1692</v>
      </c>
    </row>
    <row r="1793" spans="1:6" x14ac:dyDescent="0.25">
      <c r="A1793" t="str">
        <f>"50.0602"</f>
        <v>50.0602</v>
      </c>
      <c r="B1793" t="s">
        <v>1693</v>
      </c>
      <c r="C1793" t="s">
        <v>7</v>
      </c>
      <c r="D1793" t="s">
        <v>11</v>
      </c>
      <c r="E1793" t="str">
        <f>"50.0602"</f>
        <v>50.0602</v>
      </c>
      <c r="F1793" t="s">
        <v>1693</v>
      </c>
    </row>
    <row r="1794" spans="1:6" x14ac:dyDescent="0.25">
      <c r="A1794" t="str">
        <f>"50.0605"</f>
        <v>50.0605</v>
      </c>
      <c r="B1794" t="s">
        <v>1694</v>
      </c>
      <c r="C1794" t="s">
        <v>7</v>
      </c>
      <c r="D1794" t="s">
        <v>11</v>
      </c>
      <c r="E1794" t="str">
        <f>"50.0605"</f>
        <v>50.0605</v>
      </c>
      <c r="F1794" t="s">
        <v>1694</v>
      </c>
    </row>
    <row r="1795" spans="1:6" x14ac:dyDescent="0.25">
      <c r="A1795" t="str">
        <f>"50.0607"</f>
        <v>50.0607</v>
      </c>
      <c r="B1795" t="s">
        <v>1695</v>
      </c>
      <c r="C1795" t="s">
        <v>7</v>
      </c>
      <c r="D1795" t="s">
        <v>11</v>
      </c>
      <c r="E1795" t="str">
        <f>"50.0607"</f>
        <v>50.0607</v>
      </c>
      <c r="F1795" t="s">
        <v>1695</v>
      </c>
    </row>
    <row r="1796" spans="1:6" x14ac:dyDescent="0.25">
      <c r="A1796" t="str">
        <f>"50.0699"</f>
        <v>50.0699</v>
      </c>
      <c r="B1796" t="s">
        <v>1696</v>
      </c>
      <c r="C1796" t="s">
        <v>7</v>
      </c>
      <c r="D1796" t="s">
        <v>11</v>
      </c>
      <c r="E1796" t="str">
        <f>"50.0699"</f>
        <v>50.0699</v>
      </c>
      <c r="F1796" t="s">
        <v>1696</v>
      </c>
    </row>
    <row r="1797" spans="1:6" x14ac:dyDescent="0.25">
      <c r="A1797" t="str">
        <f>"50.07"</f>
        <v>50.07</v>
      </c>
      <c r="B1797" t="s">
        <v>1697</v>
      </c>
      <c r="C1797" t="s">
        <v>7</v>
      </c>
      <c r="D1797" t="s">
        <v>11</v>
      </c>
      <c r="E1797" t="str">
        <f>"50.07"</f>
        <v>50.07</v>
      </c>
      <c r="F1797" t="s">
        <v>1697</v>
      </c>
    </row>
    <row r="1798" spans="1:6" x14ac:dyDescent="0.25">
      <c r="A1798" t="str">
        <f>"50.0701"</f>
        <v>50.0701</v>
      </c>
      <c r="B1798" t="s">
        <v>1698</v>
      </c>
      <c r="C1798" t="s">
        <v>7</v>
      </c>
      <c r="D1798" t="s">
        <v>11</v>
      </c>
      <c r="E1798" t="str">
        <f>"50.0701"</f>
        <v>50.0701</v>
      </c>
      <c r="F1798" t="s">
        <v>1698</v>
      </c>
    </row>
    <row r="1799" spans="1:6" x14ac:dyDescent="0.25">
      <c r="A1799" t="str">
        <f>"50.0702"</f>
        <v>50.0702</v>
      </c>
      <c r="B1799" t="s">
        <v>1699</v>
      </c>
      <c r="C1799" t="s">
        <v>7</v>
      </c>
      <c r="D1799" t="s">
        <v>11</v>
      </c>
      <c r="E1799" t="str">
        <f>"50.0702"</f>
        <v>50.0702</v>
      </c>
      <c r="F1799" t="s">
        <v>1699</v>
      </c>
    </row>
    <row r="1800" spans="1:6" x14ac:dyDescent="0.25">
      <c r="A1800" t="str">
        <f>"50.0703"</f>
        <v>50.0703</v>
      </c>
      <c r="B1800" t="s">
        <v>1700</v>
      </c>
      <c r="C1800" t="s">
        <v>7</v>
      </c>
      <c r="D1800" t="s">
        <v>11</v>
      </c>
      <c r="E1800" t="str">
        <f>"50.0703"</f>
        <v>50.0703</v>
      </c>
      <c r="F1800" t="s">
        <v>1700</v>
      </c>
    </row>
    <row r="1801" spans="1:6" x14ac:dyDescent="0.25">
      <c r="A1801" t="str">
        <f>"50.0705"</f>
        <v>50.0705</v>
      </c>
      <c r="B1801" t="s">
        <v>1701</v>
      </c>
      <c r="C1801" t="s">
        <v>7</v>
      </c>
      <c r="D1801" t="s">
        <v>11</v>
      </c>
      <c r="E1801" t="str">
        <f>"50.0705"</f>
        <v>50.0705</v>
      </c>
      <c r="F1801" t="s">
        <v>1701</v>
      </c>
    </row>
    <row r="1802" spans="1:6" x14ac:dyDescent="0.25">
      <c r="A1802" t="str">
        <f>"50.0706"</f>
        <v>50.0706</v>
      </c>
      <c r="B1802" t="s">
        <v>1702</v>
      </c>
      <c r="C1802" t="s">
        <v>7</v>
      </c>
      <c r="D1802" t="s">
        <v>11</v>
      </c>
      <c r="E1802" t="str">
        <f>"50.0706"</f>
        <v>50.0706</v>
      </c>
      <c r="F1802" t="s">
        <v>1702</v>
      </c>
    </row>
    <row r="1803" spans="1:6" x14ac:dyDescent="0.25">
      <c r="A1803" t="str">
        <f>"50.0708"</f>
        <v>50.0708</v>
      </c>
      <c r="B1803" t="s">
        <v>1703</v>
      </c>
      <c r="C1803" t="s">
        <v>7</v>
      </c>
      <c r="D1803" t="s">
        <v>11</v>
      </c>
      <c r="E1803" t="str">
        <f>"50.0708"</f>
        <v>50.0708</v>
      </c>
      <c r="F1803" t="s">
        <v>1703</v>
      </c>
    </row>
    <row r="1804" spans="1:6" x14ac:dyDescent="0.25">
      <c r="A1804" t="str">
        <f>"50.0709"</f>
        <v>50.0709</v>
      </c>
      <c r="B1804" t="s">
        <v>1704</v>
      </c>
      <c r="C1804" t="s">
        <v>7</v>
      </c>
      <c r="D1804" t="s">
        <v>11</v>
      </c>
      <c r="E1804" t="str">
        <f>"50.0709"</f>
        <v>50.0709</v>
      </c>
      <c r="F1804" t="s">
        <v>1704</v>
      </c>
    </row>
    <row r="1805" spans="1:6" x14ac:dyDescent="0.25">
      <c r="A1805" t="str">
        <f>"50.0710"</f>
        <v>50.0710</v>
      </c>
      <c r="B1805" t="s">
        <v>1705</v>
      </c>
      <c r="C1805" t="s">
        <v>7</v>
      </c>
      <c r="D1805" t="s">
        <v>11</v>
      </c>
      <c r="E1805" t="str">
        <f>"50.0710"</f>
        <v>50.0710</v>
      </c>
      <c r="F1805" t="s">
        <v>1705</v>
      </c>
    </row>
    <row r="1806" spans="1:6" x14ac:dyDescent="0.25">
      <c r="A1806" t="str">
        <f>"50.0711"</f>
        <v>50.0711</v>
      </c>
      <c r="B1806" t="s">
        <v>1706</v>
      </c>
      <c r="C1806" t="s">
        <v>7</v>
      </c>
      <c r="D1806" t="s">
        <v>11</v>
      </c>
      <c r="E1806" t="str">
        <f>"50.0711"</f>
        <v>50.0711</v>
      </c>
      <c r="F1806" t="s">
        <v>1706</v>
      </c>
    </row>
    <row r="1807" spans="1:6" x14ac:dyDescent="0.25">
      <c r="A1807" t="str">
        <f>"50.0712"</f>
        <v>50.0712</v>
      </c>
      <c r="B1807" t="s">
        <v>1707</v>
      </c>
      <c r="C1807" t="s">
        <v>7</v>
      </c>
      <c r="D1807" t="s">
        <v>11</v>
      </c>
      <c r="E1807" t="str">
        <f>"50.0712"</f>
        <v>50.0712</v>
      </c>
      <c r="F1807" t="s">
        <v>1707</v>
      </c>
    </row>
    <row r="1808" spans="1:6" x14ac:dyDescent="0.25">
      <c r="A1808" t="str">
        <f>"50.0713"</f>
        <v>50.0713</v>
      </c>
      <c r="B1808" t="s">
        <v>1708</v>
      </c>
      <c r="C1808" t="s">
        <v>7</v>
      </c>
      <c r="D1808" t="s">
        <v>8</v>
      </c>
      <c r="E1808" t="str">
        <f>"50.0713"</f>
        <v>50.0713</v>
      </c>
      <c r="F1808" t="s">
        <v>1709</v>
      </c>
    </row>
    <row r="1809" spans="1:6" x14ac:dyDescent="0.25">
      <c r="C1809" t="s">
        <v>26</v>
      </c>
      <c r="D1809" t="s">
        <v>11</v>
      </c>
      <c r="E1809" t="str">
        <f>"50.0714"</f>
        <v>50.0714</v>
      </c>
      <c r="F1809" t="s">
        <v>1710</v>
      </c>
    </row>
    <row r="1810" spans="1:6" x14ac:dyDescent="0.25">
      <c r="A1810" t="str">
        <f>"50.0799"</f>
        <v>50.0799</v>
      </c>
      <c r="B1810" t="s">
        <v>1711</v>
      </c>
      <c r="C1810" t="s">
        <v>7</v>
      </c>
      <c r="D1810" t="s">
        <v>11</v>
      </c>
      <c r="E1810" t="str">
        <f>"50.0799"</f>
        <v>50.0799</v>
      </c>
      <c r="F1810" t="s">
        <v>1711</v>
      </c>
    </row>
    <row r="1811" spans="1:6" x14ac:dyDescent="0.25">
      <c r="A1811" t="str">
        <f>"50.09"</f>
        <v>50.09</v>
      </c>
      <c r="B1811" t="s">
        <v>1229</v>
      </c>
      <c r="C1811" t="s">
        <v>7</v>
      </c>
      <c r="D1811" t="s">
        <v>11</v>
      </c>
      <c r="E1811" t="str">
        <f>"50.09"</f>
        <v>50.09</v>
      </c>
      <c r="F1811" t="s">
        <v>1229</v>
      </c>
    </row>
    <row r="1812" spans="1:6" x14ac:dyDescent="0.25">
      <c r="A1812" t="str">
        <f>"50.0901"</f>
        <v>50.0901</v>
      </c>
      <c r="B1812" t="s">
        <v>1712</v>
      </c>
      <c r="C1812" t="s">
        <v>7</v>
      </c>
      <c r="D1812" t="s">
        <v>11</v>
      </c>
      <c r="E1812" t="str">
        <f>"50.0901"</f>
        <v>50.0901</v>
      </c>
      <c r="F1812" t="s">
        <v>1712</v>
      </c>
    </row>
    <row r="1813" spans="1:6" x14ac:dyDescent="0.25">
      <c r="A1813" t="str">
        <f>"50.0902"</f>
        <v>50.0902</v>
      </c>
      <c r="B1813" t="s">
        <v>1713</v>
      </c>
      <c r="C1813" t="s">
        <v>7</v>
      </c>
      <c r="D1813" t="s">
        <v>11</v>
      </c>
      <c r="E1813" t="str">
        <f>"50.0902"</f>
        <v>50.0902</v>
      </c>
      <c r="F1813" t="s">
        <v>1713</v>
      </c>
    </row>
    <row r="1814" spans="1:6" x14ac:dyDescent="0.25">
      <c r="A1814" t="str">
        <f>"50.0903"</f>
        <v>50.0903</v>
      </c>
      <c r="B1814" t="s">
        <v>1714</v>
      </c>
      <c r="C1814" t="s">
        <v>7</v>
      </c>
      <c r="D1814" t="s">
        <v>11</v>
      </c>
      <c r="E1814" t="str">
        <f>"50.0903"</f>
        <v>50.0903</v>
      </c>
      <c r="F1814" t="s">
        <v>1714</v>
      </c>
    </row>
    <row r="1815" spans="1:6" x14ac:dyDescent="0.25">
      <c r="A1815" t="str">
        <f>"50.0904"</f>
        <v>50.0904</v>
      </c>
      <c r="B1815" t="s">
        <v>1715</v>
      </c>
      <c r="C1815" t="s">
        <v>7</v>
      </c>
      <c r="D1815" t="s">
        <v>11</v>
      </c>
      <c r="E1815" t="str">
        <f>"50.0904"</f>
        <v>50.0904</v>
      </c>
      <c r="F1815" t="s">
        <v>1715</v>
      </c>
    </row>
    <row r="1816" spans="1:6" x14ac:dyDescent="0.25">
      <c r="A1816" t="str">
        <f>"50.0905"</f>
        <v>50.0905</v>
      </c>
      <c r="B1816" t="s">
        <v>1716</v>
      </c>
      <c r="C1816" t="s">
        <v>7</v>
      </c>
      <c r="D1816" t="s">
        <v>11</v>
      </c>
      <c r="E1816" t="str">
        <f>"50.0905"</f>
        <v>50.0905</v>
      </c>
      <c r="F1816" t="s">
        <v>1716</v>
      </c>
    </row>
    <row r="1817" spans="1:6" x14ac:dyDescent="0.25">
      <c r="A1817" t="str">
        <f>"50.0906"</f>
        <v>50.0906</v>
      </c>
      <c r="B1817" t="s">
        <v>1717</v>
      </c>
      <c r="C1817" t="s">
        <v>7</v>
      </c>
      <c r="D1817" t="s">
        <v>11</v>
      </c>
      <c r="E1817" t="str">
        <f>"50.0906"</f>
        <v>50.0906</v>
      </c>
      <c r="F1817" t="s">
        <v>1717</v>
      </c>
    </row>
    <row r="1818" spans="1:6" x14ac:dyDescent="0.25">
      <c r="A1818" t="str">
        <f>"50.0907"</f>
        <v>50.0907</v>
      </c>
      <c r="B1818" t="s">
        <v>1718</v>
      </c>
      <c r="C1818" t="s">
        <v>7</v>
      </c>
      <c r="D1818" t="s">
        <v>11</v>
      </c>
      <c r="E1818" t="str">
        <f>"50.0907"</f>
        <v>50.0907</v>
      </c>
      <c r="F1818" t="s">
        <v>1718</v>
      </c>
    </row>
    <row r="1819" spans="1:6" x14ac:dyDescent="0.25">
      <c r="A1819" t="str">
        <f>"50.0908"</f>
        <v>50.0908</v>
      </c>
      <c r="B1819" t="s">
        <v>1719</v>
      </c>
      <c r="C1819" t="s">
        <v>7</v>
      </c>
      <c r="D1819" t="s">
        <v>11</v>
      </c>
      <c r="E1819" t="str">
        <f>"50.0908"</f>
        <v>50.0908</v>
      </c>
      <c r="F1819" t="s">
        <v>1719</v>
      </c>
    </row>
    <row r="1820" spans="1:6" x14ac:dyDescent="0.25">
      <c r="A1820" t="str">
        <f>"50.0910"</f>
        <v>50.0910</v>
      </c>
      <c r="B1820" t="s">
        <v>1720</v>
      </c>
      <c r="C1820" t="s">
        <v>7</v>
      </c>
      <c r="D1820" t="s">
        <v>11</v>
      </c>
      <c r="E1820" t="str">
        <f>"50.0910"</f>
        <v>50.0910</v>
      </c>
      <c r="F1820" t="s">
        <v>1720</v>
      </c>
    </row>
    <row r="1821" spans="1:6" x14ac:dyDescent="0.25">
      <c r="A1821" t="str">
        <f>"50.0911"</f>
        <v>50.0911</v>
      </c>
      <c r="B1821" t="s">
        <v>1721</v>
      </c>
      <c r="C1821" t="s">
        <v>7</v>
      </c>
      <c r="D1821" t="s">
        <v>11</v>
      </c>
      <c r="E1821" t="str">
        <f>"50.0911"</f>
        <v>50.0911</v>
      </c>
      <c r="F1821" t="s">
        <v>1721</v>
      </c>
    </row>
    <row r="1822" spans="1:6" x14ac:dyDescent="0.25">
      <c r="A1822" t="str">
        <f>"50.0912"</f>
        <v>50.0912</v>
      </c>
      <c r="B1822" t="s">
        <v>1722</v>
      </c>
      <c r="C1822" t="s">
        <v>7</v>
      </c>
      <c r="D1822" t="s">
        <v>11</v>
      </c>
      <c r="E1822" t="str">
        <f>"50.0912"</f>
        <v>50.0912</v>
      </c>
      <c r="F1822" t="s">
        <v>1722</v>
      </c>
    </row>
    <row r="1823" spans="1:6" x14ac:dyDescent="0.25">
      <c r="A1823" t="str">
        <f>"50.0913"</f>
        <v>50.0913</v>
      </c>
      <c r="B1823" t="s">
        <v>1723</v>
      </c>
      <c r="C1823" t="s">
        <v>7</v>
      </c>
      <c r="D1823" t="s">
        <v>11</v>
      </c>
      <c r="E1823" t="str">
        <f>"50.0913"</f>
        <v>50.0913</v>
      </c>
      <c r="F1823" t="s">
        <v>1723</v>
      </c>
    </row>
    <row r="1824" spans="1:6" x14ac:dyDescent="0.25">
      <c r="A1824" t="str">
        <f>"50.0914"</f>
        <v>50.0914</v>
      </c>
      <c r="B1824" t="s">
        <v>1724</v>
      </c>
      <c r="C1824" t="s">
        <v>7</v>
      </c>
      <c r="D1824" t="s">
        <v>11</v>
      </c>
      <c r="E1824" t="str">
        <f>"50.0914"</f>
        <v>50.0914</v>
      </c>
      <c r="F1824" t="s">
        <v>1724</v>
      </c>
    </row>
    <row r="1825" spans="1:6" x14ac:dyDescent="0.25">
      <c r="A1825" t="str">
        <f>"50.0915"</f>
        <v>50.0915</v>
      </c>
      <c r="B1825" t="s">
        <v>1725</v>
      </c>
      <c r="C1825" t="s">
        <v>7</v>
      </c>
      <c r="D1825" t="s">
        <v>11</v>
      </c>
      <c r="E1825" t="str">
        <f>"50.0915"</f>
        <v>50.0915</v>
      </c>
      <c r="F1825" t="s">
        <v>1725</v>
      </c>
    </row>
    <row r="1826" spans="1:6" x14ac:dyDescent="0.25">
      <c r="A1826" t="str">
        <f>"50.0916"</f>
        <v>50.0916</v>
      </c>
      <c r="B1826" t="s">
        <v>1726</v>
      </c>
      <c r="C1826" t="s">
        <v>7</v>
      </c>
      <c r="D1826" t="s">
        <v>11</v>
      </c>
      <c r="E1826" t="str">
        <f>"50.0916"</f>
        <v>50.0916</v>
      </c>
      <c r="F1826" t="s">
        <v>1726</v>
      </c>
    </row>
    <row r="1827" spans="1:6" x14ac:dyDescent="0.25">
      <c r="C1827" t="s">
        <v>26</v>
      </c>
      <c r="D1827" t="s">
        <v>11</v>
      </c>
      <c r="E1827" t="str">
        <f>"50.0917"</f>
        <v>50.0917</v>
      </c>
      <c r="F1827" t="s">
        <v>1727</v>
      </c>
    </row>
    <row r="1828" spans="1:6" x14ac:dyDescent="0.25">
      <c r="A1828" t="str">
        <f>"50.0999"</f>
        <v>50.0999</v>
      </c>
      <c r="B1828" t="s">
        <v>1728</v>
      </c>
      <c r="C1828" t="s">
        <v>7</v>
      </c>
      <c r="D1828" t="s">
        <v>11</v>
      </c>
      <c r="E1828" t="str">
        <f>"50.0999"</f>
        <v>50.0999</v>
      </c>
      <c r="F1828" t="s">
        <v>1728</v>
      </c>
    </row>
    <row r="1829" spans="1:6" x14ac:dyDescent="0.25">
      <c r="A1829" t="str">
        <f>"50.10"</f>
        <v>50.10</v>
      </c>
      <c r="B1829" t="s">
        <v>1729</v>
      </c>
      <c r="C1829" t="s">
        <v>7</v>
      </c>
      <c r="D1829" t="s">
        <v>11</v>
      </c>
      <c r="E1829" t="str">
        <f>"50.10"</f>
        <v>50.10</v>
      </c>
      <c r="F1829" t="s">
        <v>1730</v>
      </c>
    </row>
    <row r="1830" spans="1:6" x14ac:dyDescent="0.25">
      <c r="A1830" t="str">
        <f>"50.1001"</f>
        <v>50.1001</v>
      </c>
      <c r="B1830" t="s">
        <v>1731</v>
      </c>
      <c r="C1830" t="s">
        <v>7</v>
      </c>
      <c r="D1830" t="s">
        <v>11</v>
      </c>
      <c r="E1830" t="str">
        <f>"50.1001"</f>
        <v>50.1001</v>
      </c>
      <c r="F1830" t="s">
        <v>1732</v>
      </c>
    </row>
    <row r="1831" spans="1:6" x14ac:dyDescent="0.25">
      <c r="A1831" t="str">
        <f>"50.1002"</f>
        <v>50.1002</v>
      </c>
      <c r="B1831" t="s">
        <v>1733</v>
      </c>
      <c r="C1831" t="s">
        <v>7</v>
      </c>
      <c r="D1831" t="s">
        <v>11</v>
      </c>
      <c r="E1831" t="str">
        <f>"50.1002"</f>
        <v>50.1002</v>
      </c>
      <c r="F1831" t="s">
        <v>1733</v>
      </c>
    </row>
    <row r="1832" spans="1:6" x14ac:dyDescent="0.25">
      <c r="A1832" t="str">
        <f>"50.1003"</f>
        <v>50.1003</v>
      </c>
      <c r="B1832" t="s">
        <v>1734</v>
      </c>
      <c r="C1832" t="s">
        <v>7</v>
      </c>
      <c r="D1832" t="s">
        <v>11</v>
      </c>
      <c r="E1832" t="str">
        <f>"50.1003"</f>
        <v>50.1003</v>
      </c>
      <c r="F1832" t="s">
        <v>1734</v>
      </c>
    </row>
    <row r="1833" spans="1:6" x14ac:dyDescent="0.25">
      <c r="A1833" t="str">
        <f>"50.1004"</f>
        <v>50.1004</v>
      </c>
      <c r="B1833" t="s">
        <v>1735</v>
      </c>
      <c r="C1833" t="s">
        <v>7</v>
      </c>
      <c r="D1833" t="s">
        <v>11</v>
      </c>
      <c r="E1833" t="str">
        <f>"50.1004"</f>
        <v>50.1004</v>
      </c>
      <c r="F1833" t="s">
        <v>1735</v>
      </c>
    </row>
    <row r="1834" spans="1:6" x14ac:dyDescent="0.25">
      <c r="A1834" t="str">
        <f>"50.1099"</f>
        <v>50.1099</v>
      </c>
      <c r="B1834" t="s">
        <v>1736</v>
      </c>
      <c r="C1834" t="s">
        <v>7</v>
      </c>
      <c r="D1834" t="s">
        <v>11</v>
      </c>
      <c r="E1834" t="str">
        <f>"50.1099"</f>
        <v>50.1099</v>
      </c>
      <c r="F1834" t="s">
        <v>1736</v>
      </c>
    </row>
    <row r="1835" spans="1:6" x14ac:dyDescent="0.25">
      <c r="C1835" t="s">
        <v>26</v>
      </c>
      <c r="D1835" t="s">
        <v>11</v>
      </c>
      <c r="E1835" t="str">
        <f>"50.11"</f>
        <v>50.11</v>
      </c>
      <c r="F1835" t="s">
        <v>1737</v>
      </c>
    </row>
    <row r="1836" spans="1:6" x14ac:dyDescent="0.25">
      <c r="C1836" t="s">
        <v>26</v>
      </c>
      <c r="D1836" t="s">
        <v>11</v>
      </c>
      <c r="E1836" t="str">
        <f>"50.1101"</f>
        <v>50.1101</v>
      </c>
      <c r="F1836" t="s">
        <v>1737</v>
      </c>
    </row>
    <row r="1837" spans="1:6" x14ac:dyDescent="0.25">
      <c r="A1837" t="str">
        <f>"50.99"</f>
        <v>50.99</v>
      </c>
      <c r="B1837" t="s">
        <v>1738</v>
      </c>
      <c r="C1837" t="s">
        <v>7</v>
      </c>
      <c r="D1837" t="s">
        <v>11</v>
      </c>
      <c r="E1837" t="str">
        <f>"50.99"</f>
        <v>50.99</v>
      </c>
      <c r="F1837" t="s">
        <v>1738</v>
      </c>
    </row>
    <row r="1838" spans="1:6" x14ac:dyDescent="0.25">
      <c r="A1838" t="str">
        <f>"50.9999"</f>
        <v>50.9999</v>
      </c>
      <c r="B1838" t="s">
        <v>1738</v>
      </c>
      <c r="C1838" t="s">
        <v>7</v>
      </c>
      <c r="D1838" t="s">
        <v>11</v>
      </c>
      <c r="E1838" t="str">
        <f>"50.9999"</f>
        <v>50.9999</v>
      </c>
      <c r="F1838" t="s">
        <v>1738</v>
      </c>
    </row>
    <row r="1839" spans="1:6" x14ac:dyDescent="0.25">
      <c r="A1839" t="str">
        <f>"51"</f>
        <v>51</v>
      </c>
      <c r="B1839" t="s">
        <v>1739</v>
      </c>
      <c r="C1839" t="s">
        <v>7</v>
      </c>
      <c r="D1839" t="s">
        <v>11</v>
      </c>
      <c r="E1839" t="str">
        <f>"51"</f>
        <v>51</v>
      </c>
      <c r="F1839" t="s">
        <v>1739</v>
      </c>
    </row>
    <row r="1840" spans="1:6" x14ac:dyDescent="0.25">
      <c r="A1840" t="str">
        <f>"51.00"</f>
        <v>51.00</v>
      </c>
      <c r="B1840" t="s">
        <v>1740</v>
      </c>
      <c r="C1840" t="s">
        <v>7</v>
      </c>
      <c r="D1840" t="s">
        <v>11</v>
      </c>
      <c r="E1840" t="str">
        <f>"51.00"</f>
        <v>51.00</v>
      </c>
      <c r="F1840" t="s">
        <v>1740</v>
      </c>
    </row>
    <row r="1841" spans="1:6" x14ac:dyDescent="0.25">
      <c r="A1841" t="str">
        <f>"51.0000"</f>
        <v>51.0000</v>
      </c>
      <c r="B1841" t="s">
        <v>1740</v>
      </c>
      <c r="C1841" t="s">
        <v>7</v>
      </c>
      <c r="D1841" t="s">
        <v>11</v>
      </c>
      <c r="E1841" t="str">
        <f>"51.0000"</f>
        <v>51.0000</v>
      </c>
      <c r="F1841" t="s">
        <v>1740</v>
      </c>
    </row>
    <row r="1842" spans="1:6" x14ac:dyDescent="0.25">
      <c r="A1842" t="str">
        <f>"51.0001"</f>
        <v>51.0001</v>
      </c>
      <c r="B1842" t="s">
        <v>1741</v>
      </c>
      <c r="C1842" t="s">
        <v>7</v>
      </c>
      <c r="D1842" t="s">
        <v>11</v>
      </c>
      <c r="E1842" t="str">
        <f>"51.0001"</f>
        <v>51.0001</v>
      </c>
      <c r="F1842" t="s">
        <v>1741</v>
      </c>
    </row>
    <row r="1843" spans="1:6" x14ac:dyDescent="0.25">
      <c r="A1843" t="str">
        <f>"51.01"</f>
        <v>51.01</v>
      </c>
      <c r="B1843" t="s">
        <v>1742</v>
      </c>
      <c r="C1843" t="s">
        <v>7</v>
      </c>
      <c r="D1843" t="s">
        <v>11</v>
      </c>
      <c r="E1843" t="str">
        <f>"51.01"</f>
        <v>51.01</v>
      </c>
      <c r="F1843" t="s">
        <v>1742</v>
      </c>
    </row>
    <row r="1844" spans="1:6" x14ac:dyDescent="0.25">
      <c r="A1844" t="str">
        <f>"51.0101"</f>
        <v>51.0101</v>
      </c>
      <c r="B1844" t="s">
        <v>1742</v>
      </c>
      <c r="C1844" t="s">
        <v>7</v>
      </c>
      <c r="D1844" t="s">
        <v>11</v>
      </c>
      <c r="E1844" t="str">
        <f>"51.0101"</f>
        <v>51.0101</v>
      </c>
      <c r="F1844" t="s">
        <v>1742</v>
      </c>
    </row>
    <row r="1845" spans="1:6" x14ac:dyDescent="0.25">
      <c r="A1845" t="str">
        <f>"51.02"</f>
        <v>51.02</v>
      </c>
      <c r="B1845" t="s">
        <v>1743</v>
      </c>
      <c r="C1845" t="s">
        <v>7</v>
      </c>
      <c r="D1845" t="s">
        <v>11</v>
      </c>
      <c r="E1845" t="str">
        <f>"51.02"</f>
        <v>51.02</v>
      </c>
      <c r="F1845" t="s">
        <v>1743</v>
      </c>
    </row>
    <row r="1846" spans="1:6" x14ac:dyDescent="0.25">
      <c r="A1846" t="str">
        <f>"51.0201"</f>
        <v>51.0201</v>
      </c>
      <c r="B1846" t="s">
        <v>1744</v>
      </c>
      <c r="C1846" t="s">
        <v>7</v>
      </c>
      <c r="D1846" t="s">
        <v>11</v>
      </c>
      <c r="E1846" t="str">
        <f>"51.0201"</f>
        <v>51.0201</v>
      </c>
      <c r="F1846" t="s">
        <v>1744</v>
      </c>
    </row>
    <row r="1847" spans="1:6" x14ac:dyDescent="0.25">
      <c r="A1847" t="str">
        <f>"51.0202"</f>
        <v>51.0202</v>
      </c>
      <c r="B1847" t="s">
        <v>1745</v>
      </c>
      <c r="C1847" t="s">
        <v>7</v>
      </c>
      <c r="D1847" t="s">
        <v>11</v>
      </c>
      <c r="E1847" t="str">
        <f>"51.0202"</f>
        <v>51.0202</v>
      </c>
      <c r="F1847" t="s">
        <v>1745</v>
      </c>
    </row>
    <row r="1848" spans="1:6" x14ac:dyDescent="0.25">
      <c r="A1848" t="str">
        <f>"51.0203"</f>
        <v>51.0203</v>
      </c>
      <c r="B1848" t="s">
        <v>1746</v>
      </c>
      <c r="C1848" t="s">
        <v>7</v>
      </c>
      <c r="D1848" t="s">
        <v>11</v>
      </c>
      <c r="E1848" t="str">
        <f>"51.0203"</f>
        <v>51.0203</v>
      </c>
      <c r="F1848" t="s">
        <v>1746</v>
      </c>
    </row>
    <row r="1849" spans="1:6" x14ac:dyDescent="0.25">
      <c r="A1849" t="str">
        <f>"51.0204"</f>
        <v>51.0204</v>
      </c>
      <c r="B1849" t="s">
        <v>1747</v>
      </c>
      <c r="C1849" t="s">
        <v>7</v>
      </c>
      <c r="D1849" t="s">
        <v>11</v>
      </c>
      <c r="E1849" t="str">
        <f>"51.0204"</f>
        <v>51.0204</v>
      </c>
      <c r="F1849" t="s">
        <v>1747</v>
      </c>
    </row>
    <row r="1850" spans="1:6" x14ac:dyDescent="0.25">
      <c r="A1850" t="str">
        <f>"51.0299"</f>
        <v>51.0299</v>
      </c>
      <c r="B1850" t="s">
        <v>1748</v>
      </c>
      <c r="C1850" t="s">
        <v>7</v>
      </c>
      <c r="D1850" t="s">
        <v>11</v>
      </c>
      <c r="E1850" t="str">
        <f>"51.0299"</f>
        <v>51.0299</v>
      </c>
      <c r="F1850" t="s">
        <v>1748</v>
      </c>
    </row>
    <row r="1851" spans="1:6" x14ac:dyDescent="0.25">
      <c r="A1851" t="str">
        <f>"51.04"</f>
        <v>51.04</v>
      </c>
      <c r="B1851" t="s">
        <v>1749</v>
      </c>
      <c r="C1851" t="s">
        <v>7</v>
      </c>
      <c r="D1851" t="s">
        <v>11</v>
      </c>
      <c r="E1851" t="str">
        <f>"51.04"</f>
        <v>51.04</v>
      </c>
      <c r="F1851" t="s">
        <v>1749</v>
      </c>
    </row>
    <row r="1852" spans="1:6" x14ac:dyDescent="0.25">
      <c r="A1852" t="str">
        <f>"51.0401"</f>
        <v>51.0401</v>
      </c>
      <c r="B1852" t="s">
        <v>1749</v>
      </c>
      <c r="C1852" t="s">
        <v>7</v>
      </c>
      <c r="D1852" t="s">
        <v>11</v>
      </c>
      <c r="E1852" t="str">
        <f>"51.0401"</f>
        <v>51.0401</v>
      </c>
      <c r="F1852" t="s">
        <v>1749</v>
      </c>
    </row>
    <row r="1853" spans="1:6" x14ac:dyDescent="0.25">
      <c r="A1853" t="str">
        <f>"51.05"</f>
        <v>51.05</v>
      </c>
      <c r="B1853" t="s">
        <v>1750</v>
      </c>
      <c r="C1853" t="s">
        <v>7</v>
      </c>
      <c r="D1853" t="s">
        <v>11</v>
      </c>
      <c r="E1853" t="str">
        <f>"51.05"</f>
        <v>51.05</v>
      </c>
      <c r="F1853" t="s">
        <v>1750</v>
      </c>
    </row>
    <row r="1854" spans="1:6" x14ac:dyDescent="0.25">
      <c r="A1854" t="str">
        <f>"51.0501"</f>
        <v>51.0501</v>
      </c>
      <c r="B1854" t="s">
        <v>1751</v>
      </c>
      <c r="C1854" t="s">
        <v>7</v>
      </c>
      <c r="D1854" t="s">
        <v>11</v>
      </c>
      <c r="E1854" t="str">
        <f>"51.0501"</f>
        <v>51.0501</v>
      </c>
      <c r="F1854" t="s">
        <v>1751</v>
      </c>
    </row>
    <row r="1855" spans="1:6" x14ac:dyDescent="0.25">
      <c r="A1855" t="str">
        <f>"51.0502"</f>
        <v>51.0502</v>
      </c>
      <c r="B1855" t="s">
        <v>1752</v>
      </c>
      <c r="C1855" t="s">
        <v>7</v>
      </c>
      <c r="D1855" t="s">
        <v>11</v>
      </c>
      <c r="E1855" t="str">
        <f>"51.0502"</f>
        <v>51.0502</v>
      </c>
      <c r="F1855" t="s">
        <v>1752</v>
      </c>
    </row>
    <row r="1856" spans="1:6" x14ac:dyDescent="0.25">
      <c r="A1856" t="str">
        <f>"51.0503"</f>
        <v>51.0503</v>
      </c>
      <c r="B1856" t="s">
        <v>1753</v>
      </c>
      <c r="C1856" t="s">
        <v>7</v>
      </c>
      <c r="D1856" t="s">
        <v>11</v>
      </c>
      <c r="E1856" t="str">
        <f>"51.0503"</f>
        <v>51.0503</v>
      </c>
      <c r="F1856" t="s">
        <v>1753</v>
      </c>
    </row>
    <row r="1857" spans="1:6" x14ac:dyDescent="0.25">
      <c r="A1857" t="str">
        <f>"51.0504"</f>
        <v>51.0504</v>
      </c>
      <c r="B1857" t="s">
        <v>1754</v>
      </c>
      <c r="C1857" t="s">
        <v>7</v>
      </c>
      <c r="D1857" t="s">
        <v>11</v>
      </c>
      <c r="E1857" t="str">
        <f>"51.0504"</f>
        <v>51.0504</v>
      </c>
      <c r="F1857" t="s">
        <v>1754</v>
      </c>
    </row>
    <row r="1858" spans="1:6" x14ac:dyDescent="0.25">
      <c r="A1858" t="str">
        <f>"51.0505"</f>
        <v>51.0505</v>
      </c>
      <c r="B1858" t="s">
        <v>1755</v>
      </c>
      <c r="C1858" t="s">
        <v>7</v>
      </c>
      <c r="D1858" t="s">
        <v>11</v>
      </c>
      <c r="E1858" t="str">
        <f>"51.0505"</f>
        <v>51.0505</v>
      </c>
      <c r="F1858" t="s">
        <v>1755</v>
      </c>
    </row>
    <row r="1859" spans="1:6" x14ac:dyDescent="0.25">
      <c r="A1859" t="str">
        <f>"51.0506"</f>
        <v>51.0506</v>
      </c>
      <c r="B1859" t="s">
        <v>1756</v>
      </c>
      <c r="C1859" t="s">
        <v>7</v>
      </c>
      <c r="D1859" t="s">
        <v>11</v>
      </c>
      <c r="E1859" t="str">
        <f>"51.0506"</f>
        <v>51.0506</v>
      </c>
      <c r="F1859" t="s">
        <v>1756</v>
      </c>
    </row>
    <row r="1860" spans="1:6" x14ac:dyDescent="0.25">
      <c r="A1860" t="str">
        <f>"51.0507"</f>
        <v>51.0507</v>
      </c>
      <c r="B1860" t="s">
        <v>1757</v>
      </c>
      <c r="C1860" t="s">
        <v>7</v>
      </c>
      <c r="D1860" t="s">
        <v>11</v>
      </c>
      <c r="E1860" t="str">
        <f>"51.0507"</f>
        <v>51.0507</v>
      </c>
      <c r="F1860" t="s">
        <v>1757</v>
      </c>
    </row>
    <row r="1861" spans="1:6" x14ac:dyDescent="0.25">
      <c r="A1861" t="str">
        <f>"51.0508"</f>
        <v>51.0508</v>
      </c>
      <c r="B1861" t="s">
        <v>1758</v>
      </c>
      <c r="C1861" t="s">
        <v>7</v>
      </c>
      <c r="D1861" t="s">
        <v>11</v>
      </c>
      <c r="E1861" t="str">
        <f>"51.0508"</f>
        <v>51.0508</v>
      </c>
      <c r="F1861" t="s">
        <v>1758</v>
      </c>
    </row>
    <row r="1862" spans="1:6" x14ac:dyDescent="0.25">
      <c r="A1862" t="str">
        <f>"51.0509"</f>
        <v>51.0509</v>
      </c>
      <c r="B1862" t="s">
        <v>1759</v>
      </c>
      <c r="C1862" t="s">
        <v>7</v>
      </c>
      <c r="D1862" t="s">
        <v>11</v>
      </c>
      <c r="E1862" t="str">
        <f>"51.0509"</f>
        <v>51.0509</v>
      </c>
      <c r="F1862" t="s">
        <v>1759</v>
      </c>
    </row>
    <row r="1863" spans="1:6" x14ac:dyDescent="0.25">
      <c r="A1863" t="str">
        <f>"51.0510"</f>
        <v>51.0510</v>
      </c>
      <c r="B1863" t="s">
        <v>1760</v>
      </c>
      <c r="C1863" t="s">
        <v>7</v>
      </c>
      <c r="D1863" t="s">
        <v>11</v>
      </c>
      <c r="E1863" t="str">
        <f>"51.0510"</f>
        <v>51.0510</v>
      </c>
      <c r="F1863" t="s">
        <v>1760</v>
      </c>
    </row>
    <row r="1864" spans="1:6" x14ac:dyDescent="0.25">
      <c r="A1864" t="str">
        <f>"51.0511"</f>
        <v>51.0511</v>
      </c>
      <c r="B1864" t="s">
        <v>1761</v>
      </c>
      <c r="C1864" t="s">
        <v>7</v>
      </c>
      <c r="D1864" t="s">
        <v>11</v>
      </c>
      <c r="E1864" t="str">
        <f>"51.0511"</f>
        <v>51.0511</v>
      </c>
      <c r="F1864" t="s">
        <v>1761</v>
      </c>
    </row>
    <row r="1865" spans="1:6" x14ac:dyDescent="0.25">
      <c r="C1865" t="s">
        <v>26</v>
      </c>
      <c r="D1865" t="s">
        <v>11</v>
      </c>
      <c r="E1865" t="str">
        <f>"51.0512"</f>
        <v>51.0512</v>
      </c>
      <c r="F1865" t="s">
        <v>1762</v>
      </c>
    </row>
    <row r="1866" spans="1:6" x14ac:dyDescent="0.25">
      <c r="C1866" t="s">
        <v>26</v>
      </c>
      <c r="D1866" t="s">
        <v>11</v>
      </c>
      <c r="E1866" t="str">
        <f>"51.0513"</f>
        <v>51.0513</v>
      </c>
      <c r="F1866" t="s">
        <v>1763</v>
      </c>
    </row>
    <row r="1867" spans="1:6" x14ac:dyDescent="0.25">
      <c r="C1867" t="s">
        <v>26</v>
      </c>
      <c r="D1867" t="s">
        <v>11</v>
      </c>
      <c r="E1867" t="str">
        <f>"51.0514"</f>
        <v>51.0514</v>
      </c>
      <c r="F1867" t="s">
        <v>1764</v>
      </c>
    </row>
    <row r="1868" spans="1:6" x14ac:dyDescent="0.25">
      <c r="A1868" t="str">
        <f>"51.0599"</f>
        <v>51.0599</v>
      </c>
      <c r="B1868" t="s">
        <v>1765</v>
      </c>
      <c r="C1868" t="s">
        <v>7</v>
      </c>
      <c r="D1868" t="s">
        <v>11</v>
      </c>
      <c r="E1868" t="str">
        <f>"51.0599"</f>
        <v>51.0599</v>
      </c>
      <c r="F1868" t="s">
        <v>1765</v>
      </c>
    </row>
    <row r="1869" spans="1:6" x14ac:dyDescent="0.25">
      <c r="A1869" t="str">
        <f>"51.06"</f>
        <v>51.06</v>
      </c>
      <c r="B1869" t="s">
        <v>1766</v>
      </c>
      <c r="C1869" t="s">
        <v>7</v>
      </c>
      <c r="D1869" t="s">
        <v>11</v>
      </c>
      <c r="E1869" t="str">
        <f>"51.06"</f>
        <v>51.06</v>
      </c>
      <c r="F1869" t="s">
        <v>1766</v>
      </c>
    </row>
    <row r="1870" spans="1:6" x14ac:dyDescent="0.25">
      <c r="A1870" t="str">
        <f>"51.0601"</f>
        <v>51.0601</v>
      </c>
      <c r="B1870" t="s">
        <v>1767</v>
      </c>
      <c r="C1870" t="s">
        <v>7</v>
      </c>
      <c r="D1870" t="s">
        <v>11</v>
      </c>
      <c r="E1870" t="str">
        <f>"51.0601"</f>
        <v>51.0601</v>
      </c>
      <c r="F1870" t="s">
        <v>1767</v>
      </c>
    </row>
    <row r="1871" spans="1:6" x14ac:dyDescent="0.25">
      <c r="A1871" t="str">
        <f>"51.0602"</f>
        <v>51.0602</v>
      </c>
      <c r="B1871" t="s">
        <v>1768</v>
      </c>
      <c r="C1871" t="s">
        <v>7</v>
      </c>
      <c r="D1871" t="s">
        <v>11</v>
      </c>
      <c r="E1871" t="str">
        <f>"51.0602"</f>
        <v>51.0602</v>
      </c>
      <c r="F1871" t="s">
        <v>1768</v>
      </c>
    </row>
    <row r="1872" spans="1:6" x14ac:dyDescent="0.25">
      <c r="A1872" t="str">
        <f>"51.0603"</f>
        <v>51.0603</v>
      </c>
      <c r="B1872" t="s">
        <v>1769</v>
      </c>
      <c r="C1872" t="s">
        <v>7</v>
      </c>
      <c r="D1872" t="s">
        <v>11</v>
      </c>
      <c r="E1872" t="str">
        <f>"51.0603"</f>
        <v>51.0603</v>
      </c>
      <c r="F1872" t="s">
        <v>1769</v>
      </c>
    </row>
    <row r="1873" spans="1:6" x14ac:dyDescent="0.25">
      <c r="A1873" t="str">
        <f>"51.0699"</f>
        <v>51.0699</v>
      </c>
      <c r="B1873" t="s">
        <v>1770</v>
      </c>
      <c r="C1873" t="s">
        <v>7</v>
      </c>
      <c r="D1873" t="s">
        <v>11</v>
      </c>
      <c r="E1873" t="str">
        <f>"51.0699"</f>
        <v>51.0699</v>
      </c>
      <c r="F1873" t="s">
        <v>1770</v>
      </c>
    </row>
    <row r="1874" spans="1:6" x14ac:dyDescent="0.25">
      <c r="A1874" t="str">
        <f>"51.07"</f>
        <v>51.07</v>
      </c>
      <c r="B1874" t="s">
        <v>1771</v>
      </c>
      <c r="C1874" t="s">
        <v>7</v>
      </c>
      <c r="D1874" t="s">
        <v>11</v>
      </c>
      <c r="E1874" t="str">
        <f>"51.07"</f>
        <v>51.07</v>
      </c>
      <c r="F1874" t="s">
        <v>1771</v>
      </c>
    </row>
    <row r="1875" spans="1:6" x14ac:dyDescent="0.25">
      <c r="A1875" t="str">
        <f>"51.0701"</f>
        <v>51.0701</v>
      </c>
      <c r="B1875" t="s">
        <v>1772</v>
      </c>
      <c r="C1875" t="s">
        <v>7</v>
      </c>
      <c r="D1875" t="s">
        <v>11</v>
      </c>
      <c r="E1875" t="str">
        <f>"51.0701"</f>
        <v>51.0701</v>
      </c>
      <c r="F1875" t="s">
        <v>1772</v>
      </c>
    </row>
    <row r="1876" spans="1:6" x14ac:dyDescent="0.25">
      <c r="A1876" t="str">
        <f>"51.0702"</f>
        <v>51.0702</v>
      </c>
      <c r="B1876" t="s">
        <v>1773</v>
      </c>
      <c r="C1876" t="s">
        <v>7</v>
      </c>
      <c r="D1876" t="s">
        <v>11</v>
      </c>
      <c r="E1876" t="str">
        <f>"51.0702"</f>
        <v>51.0702</v>
      </c>
      <c r="F1876" t="s">
        <v>1773</v>
      </c>
    </row>
    <row r="1877" spans="1:6" x14ac:dyDescent="0.25">
      <c r="A1877" t="str">
        <f>"51.0703"</f>
        <v>51.0703</v>
      </c>
      <c r="B1877" t="s">
        <v>1774</v>
      </c>
      <c r="C1877" t="s">
        <v>7</v>
      </c>
      <c r="D1877" t="s">
        <v>11</v>
      </c>
      <c r="E1877" t="str">
        <f>"51.0703"</f>
        <v>51.0703</v>
      </c>
      <c r="F1877" t="s">
        <v>1774</v>
      </c>
    </row>
    <row r="1878" spans="1:6" x14ac:dyDescent="0.25">
      <c r="A1878" t="str">
        <f>"51.0704"</f>
        <v>51.0704</v>
      </c>
      <c r="B1878" t="s">
        <v>1775</v>
      </c>
      <c r="C1878" t="s">
        <v>7</v>
      </c>
      <c r="D1878" t="s">
        <v>11</v>
      </c>
      <c r="E1878" t="str">
        <f>"51.0704"</f>
        <v>51.0704</v>
      </c>
      <c r="F1878" t="s">
        <v>1775</v>
      </c>
    </row>
    <row r="1879" spans="1:6" x14ac:dyDescent="0.25">
      <c r="A1879" t="str">
        <f>"51.0705"</f>
        <v>51.0705</v>
      </c>
      <c r="B1879" t="s">
        <v>1776</v>
      </c>
      <c r="C1879" t="s">
        <v>7</v>
      </c>
      <c r="D1879" t="s">
        <v>11</v>
      </c>
      <c r="E1879" t="str">
        <f>"51.0705"</f>
        <v>51.0705</v>
      </c>
      <c r="F1879" t="s">
        <v>1776</v>
      </c>
    </row>
    <row r="1880" spans="1:6" x14ac:dyDescent="0.25">
      <c r="A1880" t="str">
        <f>"51.0706"</f>
        <v>51.0706</v>
      </c>
      <c r="B1880" t="s">
        <v>1777</v>
      </c>
      <c r="C1880" t="s">
        <v>7</v>
      </c>
      <c r="D1880" t="s">
        <v>11</v>
      </c>
      <c r="E1880" t="str">
        <f>"51.0706"</f>
        <v>51.0706</v>
      </c>
      <c r="F1880" t="s">
        <v>1777</v>
      </c>
    </row>
    <row r="1881" spans="1:6" x14ac:dyDescent="0.25">
      <c r="A1881" t="str">
        <f>"51.0707"</f>
        <v>51.0707</v>
      </c>
      <c r="B1881" t="s">
        <v>1778</v>
      </c>
      <c r="C1881" t="s">
        <v>7</v>
      </c>
      <c r="D1881" t="s">
        <v>11</v>
      </c>
      <c r="E1881" t="str">
        <f>"51.0707"</f>
        <v>51.0707</v>
      </c>
      <c r="F1881" t="s">
        <v>1778</v>
      </c>
    </row>
    <row r="1882" spans="1:6" x14ac:dyDescent="0.25">
      <c r="A1882" t="str">
        <f>"51.0708"</f>
        <v>51.0708</v>
      </c>
      <c r="B1882" t="s">
        <v>1779</v>
      </c>
      <c r="C1882" t="s">
        <v>7</v>
      </c>
      <c r="D1882" t="s">
        <v>11</v>
      </c>
      <c r="E1882" t="str">
        <f>"51.0708"</f>
        <v>51.0708</v>
      </c>
      <c r="F1882" t="s">
        <v>1779</v>
      </c>
    </row>
    <row r="1883" spans="1:6" x14ac:dyDescent="0.25">
      <c r="A1883" t="str">
        <f>"51.0709"</f>
        <v>51.0709</v>
      </c>
      <c r="B1883" t="s">
        <v>1780</v>
      </c>
      <c r="C1883" t="s">
        <v>7</v>
      </c>
      <c r="D1883" t="s">
        <v>11</v>
      </c>
      <c r="E1883" t="str">
        <f>"51.0709"</f>
        <v>51.0709</v>
      </c>
      <c r="F1883" t="s">
        <v>1780</v>
      </c>
    </row>
    <row r="1884" spans="1:6" x14ac:dyDescent="0.25">
      <c r="A1884" t="str">
        <f>"51.0710"</f>
        <v>51.0710</v>
      </c>
      <c r="B1884" t="s">
        <v>1781</v>
      </c>
      <c r="C1884" t="s">
        <v>7</v>
      </c>
      <c r="D1884" t="s">
        <v>11</v>
      </c>
      <c r="E1884" t="str">
        <f>"51.0710"</f>
        <v>51.0710</v>
      </c>
      <c r="F1884" t="s">
        <v>1781</v>
      </c>
    </row>
    <row r="1885" spans="1:6" x14ac:dyDescent="0.25">
      <c r="A1885" t="str">
        <f>"51.0711"</f>
        <v>51.0711</v>
      </c>
      <c r="B1885" t="s">
        <v>1782</v>
      </c>
      <c r="C1885" t="s">
        <v>7</v>
      </c>
      <c r="D1885" t="s">
        <v>11</v>
      </c>
      <c r="E1885" t="str">
        <f>"51.0711"</f>
        <v>51.0711</v>
      </c>
      <c r="F1885" t="s">
        <v>1782</v>
      </c>
    </row>
    <row r="1886" spans="1:6" x14ac:dyDescent="0.25">
      <c r="A1886" t="str">
        <f>"51.0712"</f>
        <v>51.0712</v>
      </c>
      <c r="B1886" t="s">
        <v>1783</v>
      </c>
      <c r="C1886" t="s">
        <v>7</v>
      </c>
      <c r="D1886" t="s">
        <v>11</v>
      </c>
      <c r="E1886" t="str">
        <f>"51.0712"</f>
        <v>51.0712</v>
      </c>
      <c r="F1886" t="s">
        <v>1783</v>
      </c>
    </row>
    <row r="1887" spans="1:6" x14ac:dyDescent="0.25">
      <c r="A1887" t="str">
        <f>"51.0713"</f>
        <v>51.0713</v>
      </c>
      <c r="B1887" t="s">
        <v>1784</v>
      </c>
      <c r="C1887" t="s">
        <v>7</v>
      </c>
      <c r="D1887" t="s">
        <v>11</v>
      </c>
      <c r="E1887" t="str">
        <f>"51.0713"</f>
        <v>51.0713</v>
      </c>
      <c r="F1887" t="s">
        <v>1784</v>
      </c>
    </row>
    <row r="1888" spans="1:6" x14ac:dyDescent="0.25">
      <c r="A1888" t="str">
        <f>"51.0714"</f>
        <v>51.0714</v>
      </c>
      <c r="B1888" t="s">
        <v>1785</v>
      </c>
      <c r="C1888" t="s">
        <v>7</v>
      </c>
      <c r="D1888" t="s">
        <v>11</v>
      </c>
      <c r="E1888" t="str">
        <f>"51.0714"</f>
        <v>51.0714</v>
      </c>
      <c r="F1888" t="s">
        <v>1785</v>
      </c>
    </row>
    <row r="1889" spans="1:6" x14ac:dyDescent="0.25">
      <c r="A1889" t="str">
        <f>"51.0715"</f>
        <v>51.0715</v>
      </c>
      <c r="B1889" t="s">
        <v>1786</v>
      </c>
      <c r="C1889" t="s">
        <v>7</v>
      </c>
      <c r="D1889" t="s">
        <v>11</v>
      </c>
      <c r="E1889" t="str">
        <f>"51.0715"</f>
        <v>51.0715</v>
      </c>
      <c r="F1889" t="s">
        <v>1786</v>
      </c>
    </row>
    <row r="1890" spans="1:6" x14ac:dyDescent="0.25">
      <c r="A1890" t="str">
        <f>"51.0716"</f>
        <v>51.0716</v>
      </c>
      <c r="B1890" t="s">
        <v>1787</v>
      </c>
      <c r="C1890" t="s">
        <v>7</v>
      </c>
      <c r="D1890" t="s">
        <v>11</v>
      </c>
      <c r="E1890" t="str">
        <f>"51.0716"</f>
        <v>51.0716</v>
      </c>
      <c r="F1890" t="s">
        <v>1787</v>
      </c>
    </row>
    <row r="1891" spans="1:6" x14ac:dyDescent="0.25">
      <c r="A1891" t="str">
        <f>"51.0717"</f>
        <v>51.0717</v>
      </c>
      <c r="B1891" t="s">
        <v>1788</v>
      </c>
      <c r="C1891" t="s">
        <v>7</v>
      </c>
      <c r="D1891" t="s">
        <v>11</v>
      </c>
      <c r="E1891" t="str">
        <f>"51.0717"</f>
        <v>51.0717</v>
      </c>
      <c r="F1891" t="s">
        <v>1788</v>
      </c>
    </row>
    <row r="1892" spans="1:6" x14ac:dyDescent="0.25">
      <c r="A1892" t="str">
        <f>"51.0718"</f>
        <v>51.0718</v>
      </c>
      <c r="B1892" t="s">
        <v>1789</v>
      </c>
      <c r="C1892" t="s">
        <v>7</v>
      </c>
      <c r="D1892" t="s">
        <v>11</v>
      </c>
      <c r="E1892" t="str">
        <f>"51.0718"</f>
        <v>51.0718</v>
      </c>
      <c r="F1892" t="s">
        <v>1789</v>
      </c>
    </row>
    <row r="1893" spans="1:6" x14ac:dyDescent="0.25">
      <c r="A1893" t="str">
        <f>"51.0719"</f>
        <v>51.0719</v>
      </c>
      <c r="B1893" t="s">
        <v>1790</v>
      </c>
      <c r="C1893" t="s">
        <v>7</v>
      </c>
      <c r="D1893" t="s">
        <v>11</v>
      </c>
      <c r="E1893" t="str">
        <f>"51.0719"</f>
        <v>51.0719</v>
      </c>
      <c r="F1893" t="s">
        <v>1790</v>
      </c>
    </row>
    <row r="1894" spans="1:6" x14ac:dyDescent="0.25">
      <c r="C1894" t="s">
        <v>26</v>
      </c>
      <c r="D1894" t="s">
        <v>11</v>
      </c>
      <c r="E1894" t="str">
        <f>"51.0720"</f>
        <v>51.0720</v>
      </c>
      <c r="F1894" t="s">
        <v>1791</v>
      </c>
    </row>
    <row r="1895" spans="1:6" x14ac:dyDescent="0.25">
      <c r="C1895" t="s">
        <v>26</v>
      </c>
      <c r="D1895" t="s">
        <v>11</v>
      </c>
      <c r="E1895" t="str">
        <f>"51.0721"</f>
        <v>51.0721</v>
      </c>
      <c r="F1895" t="s">
        <v>1792</v>
      </c>
    </row>
    <row r="1896" spans="1:6" x14ac:dyDescent="0.25">
      <c r="C1896" t="s">
        <v>26</v>
      </c>
      <c r="D1896" t="s">
        <v>11</v>
      </c>
      <c r="E1896" t="str">
        <f>"51.0722"</f>
        <v>51.0722</v>
      </c>
      <c r="F1896" t="s">
        <v>1793</v>
      </c>
    </row>
    <row r="1897" spans="1:6" x14ac:dyDescent="0.25">
      <c r="C1897" t="s">
        <v>26</v>
      </c>
      <c r="D1897" t="s">
        <v>11</v>
      </c>
      <c r="E1897" t="str">
        <f>"51.0723"</f>
        <v>51.0723</v>
      </c>
      <c r="F1897" t="s">
        <v>1794</v>
      </c>
    </row>
    <row r="1898" spans="1:6" x14ac:dyDescent="0.25">
      <c r="A1898" t="str">
        <f>"51.0799"</f>
        <v>51.0799</v>
      </c>
      <c r="B1898" t="s">
        <v>1795</v>
      </c>
      <c r="C1898" t="s">
        <v>7</v>
      </c>
      <c r="D1898" t="s">
        <v>11</v>
      </c>
      <c r="E1898" t="str">
        <f>"51.0799"</f>
        <v>51.0799</v>
      </c>
      <c r="F1898" t="s">
        <v>1795</v>
      </c>
    </row>
    <row r="1899" spans="1:6" x14ac:dyDescent="0.25">
      <c r="A1899" t="str">
        <f>"51.08"</f>
        <v>51.08</v>
      </c>
      <c r="B1899" t="s">
        <v>1796</v>
      </c>
      <c r="C1899" t="s">
        <v>7</v>
      </c>
      <c r="D1899" t="s">
        <v>11</v>
      </c>
      <c r="E1899" t="str">
        <f>"51.08"</f>
        <v>51.08</v>
      </c>
      <c r="F1899" t="s">
        <v>1796</v>
      </c>
    </row>
    <row r="1900" spans="1:6" x14ac:dyDescent="0.25">
      <c r="A1900" t="str">
        <f>"51.0801"</f>
        <v>51.0801</v>
      </c>
      <c r="B1900" t="s">
        <v>1797</v>
      </c>
      <c r="C1900" t="s">
        <v>7</v>
      </c>
      <c r="D1900" t="s">
        <v>11</v>
      </c>
      <c r="E1900" t="str">
        <f>"51.0801"</f>
        <v>51.0801</v>
      </c>
      <c r="F1900" t="s">
        <v>1797</v>
      </c>
    </row>
    <row r="1901" spans="1:6" x14ac:dyDescent="0.25">
      <c r="A1901" t="str">
        <f>"51.0802"</f>
        <v>51.0802</v>
      </c>
      <c r="B1901" t="s">
        <v>1798</v>
      </c>
      <c r="C1901" t="s">
        <v>7</v>
      </c>
      <c r="D1901" t="s">
        <v>11</v>
      </c>
      <c r="E1901" t="str">
        <f>"51.0802"</f>
        <v>51.0802</v>
      </c>
      <c r="F1901" t="s">
        <v>1798</v>
      </c>
    </row>
    <row r="1902" spans="1:6" x14ac:dyDescent="0.25">
      <c r="A1902" t="str">
        <f>"51.0803"</f>
        <v>51.0803</v>
      </c>
      <c r="B1902" t="s">
        <v>1799</v>
      </c>
      <c r="C1902" t="s">
        <v>7</v>
      </c>
      <c r="D1902" t="s">
        <v>11</v>
      </c>
      <c r="E1902" t="str">
        <f>"51.0803"</f>
        <v>51.0803</v>
      </c>
      <c r="F1902" t="s">
        <v>1799</v>
      </c>
    </row>
    <row r="1903" spans="1:6" x14ac:dyDescent="0.25">
      <c r="A1903" t="str">
        <f>"51.0805"</f>
        <v>51.0805</v>
      </c>
      <c r="B1903" t="s">
        <v>1800</v>
      </c>
      <c r="C1903" t="s">
        <v>7</v>
      </c>
      <c r="D1903" t="s">
        <v>11</v>
      </c>
      <c r="E1903" t="str">
        <f>"51.0805"</f>
        <v>51.0805</v>
      </c>
      <c r="F1903" t="s">
        <v>1800</v>
      </c>
    </row>
    <row r="1904" spans="1:6" x14ac:dyDescent="0.25">
      <c r="A1904" t="str">
        <f>"51.0806"</f>
        <v>51.0806</v>
      </c>
      <c r="B1904" t="s">
        <v>1801</v>
      </c>
      <c r="C1904" t="s">
        <v>7</v>
      </c>
      <c r="D1904" t="s">
        <v>8</v>
      </c>
      <c r="E1904" t="str">
        <f>"51.0806"</f>
        <v>51.0806</v>
      </c>
      <c r="F1904" t="s">
        <v>1802</v>
      </c>
    </row>
    <row r="1905" spans="1:6" x14ac:dyDescent="0.25">
      <c r="A1905" t="str">
        <f>"51.0808"</f>
        <v>51.0808</v>
      </c>
      <c r="B1905" t="s">
        <v>1803</v>
      </c>
      <c r="C1905" t="s">
        <v>38</v>
      </c>
      <c r="D1905" t="s">
        <v>11</v>
      </c>
      <c r="E1905" t="str">
        <f>"01.8301"</f>
        <v>01.8301</v>
      </c>
      <c r="F1905" t="s">
        <v>1803</v>
      </c>
    </row>
    <row r="1906" spans="1:6" x14ac:dyDescent="0.25">
      <c r="A1906" t="str">
        <f>"51.0809"</f>
        <v>51.0809</v>
      </c>
      <c r="B1906" t="s">
        <v>1804</v>
      </c>
      <c r="C1906" t="s">
        <v>7</v>
      </c>
      <c r="D1906" t="s">
        <v>11</v>
      </c>
      <c r="E1906" t="str">
        <f>"51.0809"</f>
        <v>51.0809</v>
      </c>
      <c r="F1906" t="s">
        <v>1804</v>
      </c>
    </row>
    <row r="1907" spans="1:6" x14ac:dyDescent="0.25">
      <c r="A1907" t="str">
        <f>"51.0810"</f>
        <v>51.0810</v>
      </c>
      <c r="B1907" t="s">
        <v>1805</v>
      </c>
      <c r="C1907" t="s">
        <v>7</v>
      </c>
      <c r="D1907" t="s">
        <v>11</v>
      </c>
      <c r="E1907" t="str">
        <f>"51.0810"</f>
        <v>51.0810</v>
      </c>
      <c r="F1907" t="s">
        <v>1805</v>
      </c>
    </row>
    <row r="1908" spans="1:6" x14ac:dyDescent="0.25">
      <c r="A1908" t="str">
        <f>"51.0811"</f>
        <v>51.0811</v>
      </c>
      <c r="B1908" t="s">
        <v>1806</v>
      </c>
      <c r="C1908" t="s">
        <v>7</v>
      </c>
      <c r="D1908" t="s">
        <v>11</v>
      </c>
      <c r="E1908" t="str">
        <f>"51.0811"</f>
        <v>51.0811</v>
      </c>
      <c r="F1908" t="s">
        <v>1806</v>
      </c>
    </row>
    <row r="1909" spans="1:6" x14ac:dyDescent="0.25">
      <c r="A1909" t="str">
        <f>"51.0812"</f>
        <v>51.0812</v>
      </c>
      <c r="B1909" t="s">
        <v>1807</v>
      </c>
      <c r="C1909" t="s">
        <v>7</v>
      </c>
      <c r="D1909" t="s">
        <v>11</v>
      </c>
      <c r="E1909" t="str">
        <f>"51.0812"</f>
        <v>51.0812</v>
      </c>
      <c r="F1909" t="s">
        <v>1807</v>
      </c>
    </row>
    <row r="1910" spans="1:6" x14ac:dyDescent="0.25">
      <c r="A1910" t="str">
        <f>"51.0813"</f>
        <v>51.0813</v>
      </c>
      <c r="B1910" t="s">
        <v>1808</v>
      </c>
      <c r="C1910" t="s">
        <v>7</v>
      </c>
      <c r="D1910" t="s">
        <v>11</v>
      </c>
      <c r="E1910" t="str">
        <f>"51.0813"</f>
        <v>51.0813</v>
      </c>
      <c r="F1910" t="s">
        <v>1809</v>
      </c>
    </row>
    <row r="1911" spans="1:6" x14ac:dyDescent="0.25">
      <c r="A1911" t="str">
        <f>"51.0814"</f>
        <v>51.0814</v>
      </c>
      <c r="B1911" t="s">
        <v>1810</v>
      </c>
      <c r="C1911" t="s">
        <v>7</v>
      </c>
      <c r="D1911" t="s">
        <v>11</v>
      </c>
      <c r="E1911" t="str">
        <f>"51.0814"</f>
        <v>51.0814</v>
      </c>
      <c r="F1911" t="s">
        <v>1810</v>
      </c>
    </row>
    <row r="1912" spans="1:6" x14ac:dyDescent="0.25">
      <c r="A1912" t="str">
        <f>"51.0815"</f>
        <v>51.0815</v>
      </c>
      <c r="B1912" t="s">
        <v>1811</v>
      </c>
      <c r="C1912" t="s">
        <v>7</v>
      </c>
      <c r="D1912" t="s">
        <v>11</v>
      </c>
      <c r="E1912" t="str">
        <f>"51.0815"</f>
        <v>51.0815</v>
      </c>
      <c r="F1912" t="s">
        <v>1811</v>
      </c>
    </row>
    <row r="1913" spans="1:6" x14ac:dyDescent="0.25">
      <c r="A1913" t="str">
        <f>"51.0816"</f>
        <v>51.0816</v>
      </c>
      <c r="B1913" t="s">
        <v>1812</v>
      </c>
      <c r="C1913" t="s">
        <v>7</v>
      </c>
      <c r="D1913" t="s">
        <v>11</v>
      </c>
      <c r="E1913" t="str">
        <f>"51.0816"</f>
        <v>51.0816</v>
      </c>
      <c r="F1913" t="s">
        <v>1812</v>
      </c>
    </row>
    <row r="1914" spans="1:6" x14ac:dyDescent="0.25">
      <c r="C1914" t="s">
        <v>26</v>
      </c>
      <c r="D1914" t="s">
        <v>11</v>
      </c>
      <c r="E1914" t="str">
        <f>"51.0817"</f>
        <v>51.0817</v>
      </c>
      <c r="F1914" t="s">
        <v>42</v>
      </c>
    </row>
    <row r="1915" spans="1:6" x14ac:dyDescent="0.25">
      <c r="A1915" t="str">
        <f>"51.0899"</f>
        <v>51.0899</v>
      </c>
      <c r="B1915" t="s">
        <v>1813</v>
      </c>
      <c r="C1915" t="s">
        <v>7</v>
      </c>
      <c r="D1915" t="s">
        <v>11</v>
      </c>
      <c r="E1915" t="str">
        <f>"51.0899"</f>
        <v>51.0899</v>
      </c>
      <c r="F1915" t="s">
        <v>1813</v>
      </c>
    </row>
    <row r="1916" spans="1:6" x14ac:dyDescent="0.25">
      <c r="A1916" t="str">
        <f>"51.09"</f>
        <v>51.09</v>
      </c>
      <c r="B1916" t="s">
        <v>1814</v>
      </c>
      <c r="C1916" t="s">
        <v>7</v>
      </c>
      <c r="D1916" t="s">
        <v>11</v>
      </c>
      <c r="E1916" t="str">
        <f>"51.09"</f>
        <v>51.09</v>
      </c>
      <c r="F1916" t="s">
        <v>1814</v>
      </c>
    </row>
    <row r="1917" spans="1:6" x14ac:dyDescent="0.25">
      <c r="A1917" t="str">
        <f>"51.0901"</f>
        <v>51.0901</v>
      </c>
      <c r="B1917" t="s">
        <v>1815</v>
      </c>
      <c r="C1917" t="s">
        <v>7</v>
      </c>
      <c r="D1917" t="s">
        <v>11</v>
      </c>
      <c r="E1917" t="str">
        <f>"51.0901"</f>
        <v>51.0901</v>
      </c>
      <c r="F1917" t="s">
        <v>1815</v>
      </c>
    </row>
    <row r="1918" spans="1:6" x14ac:dyDescent="0.25">
      <c r="A1918" t="str">
        <f>"51.0902"</f>
        <v>51.0902</v>
      </c>
      <c r="B1918" t="s">
        <v>1816</v>
      </c>
      <c r="C1918" t="s">
        <v>7</v>
      </c>
      <c r="D1918" t="s">
        <v>11</v>
      </c>
      <c r="E1918" t="str">
        <f>"51.0902"</f>
        <v>51.0902</v>
      </c>
      <c r="F1918" t="s">
        <v>1816</v>
      </c>
    </row>
    <row r="1919" spans="1:6" x14ac:dyDescent="0.25">
      <c r="A1919" t="str">
        <f>"51.0903"</f>
        <v>51.0903</v>
      </c>
      <c r="B1919" t="s">
        <v>1817</v>
      </c>
      <c r="C1919" t="s">
        <v>7</v>
      </c>
      <c r="D1919" t="s">
        <v>11</v>
      </c>
      <c r="E1919" t="str">
        <f>"51.0903"</f>
        <v>51.0903</v>
      </c>
      <c r="F1919" t="s">
        <v>1817</v>
      </c>
    </row>
    <row r="1920" spans="1:6" x14ac:dyDescent="0.25">
      <c r="A1920" t="str">
        <f>"51.0904"</f>
        <v>51.0904</v>
      </c>
      <c r="B1920" t="s">
        <v>1818</v>
      </c>
      <c r="C1920" t="s">
        <v>7</v>
      </c>
      <c r="D1920" t="s">
        <v>11</v>
      </c>
      <c r="E1920" t="str">
        <f>"51.0904"</f>
        <v>51.0904</v>
      </c>
      <c r="F1920" t="s">
        <v>1818</v>
      </c>
    </row>
    <row r="1921" spans="1:6" x14ac:dyDescent="0.25">
      <c r="A1921" t="str">
        <f>"51.0905"</f>
        <v>51.0905</v>
      </c>
      <c r="B1921" t="s">
        <v>1819</v>
      </c>
      <c r="C1921" t="s">
        <v>7</v>
      </c>
      <c r="D1921" t="s">
        <v>11</v>
      </c>
      <c r="E1921" t="str">
        <f>"51.0905"</f>
        <v>51.0905</v>
      </c>
      <c r="F1921" t="s">
        <v>1819</v>
      </c>
    </row>
    <row r="1922" spans="1:6" x14ac:dyDescent="0.25">
      <c r="A1922" t="str">
        <f>"51.0906"</f>
        <v>51.0906</v>
      </c>
      <c r="B1922" t="s">
        <v>1820</v>
      </c>
      <c r="C1922" t="s">
        <v>7</v>
      </c>
      <c r="D1922" t="s">
        <v>11</v>
      </c>
      <c r="E1922" t="str">
        <f>"51.0906"</f>
        <v>51.0906</v>
      </c>
      <c r="F1922" t="s">
        <v>1820</v>
      </c>
    </row>
    <row r="1923" spans="1:6" x14ac:dyDescent="0.25">
      <c r="A1923" t="str">
        <f>"51.0907"</f>
        <v>51.0907</v>
      </c>
      <c r="B1923" t="s">
        <v>1821</v>
      </c>
      <c r="C1923" t="s">
        <v>7</v>
      </c>
      <c r="D1923" t="s">
        <v>11</v>
      </c>
      <c r="E1923" t="str">
        <f>"51.0907"</f>
        <v>51.0907</v>
      </c>
      <c r="F1923" t="s">
        <v>1821</v>
      </c>
    </row>
    <row r="1924" spans="1:6" x14ac:dyDescent="0.25">
      <c r="A1924" t="str">
        <f>"51.0908"</f>
        <v>51.0908</v>
      </c>
      <c r="B1924" t="s">
        <v>1822</v>
      </c>
      <c r="C1924" t="s">
        <v>7</v>
      </c>
      <c r="D1924" t="s">
        <v>11</v>
      </c>
      <c r="E1924" t="str">
        <f>"51.0908"</f>
        <v>51.0908</v>
      </c>
      <c r="F1924" t="s">
        <v>1822</v>
      </c>
    </row>
    <row r="1925" spans="1:6" x14ac:dyDescent="0.25">
      <c r="A1925" t="str">
        <f>"51.0909"</f>
        <v>51.0909</v>
      </c>
      <c r="B1925" t="s">
        <v>1823</v>
      </c>
      <c r="C1925" t="s">
        <v>7</v>
      </c>
      <c r="D1925" t="s">
        <v>11</v>
      </c>
      <c r="E1925" t="str">
        <f>"51.0909"</f>
        <v>51.0909</v>
      </c>
      <c r="F1925" t="s">
        <v>1823</v>
      </c>
    </row>
    <row r="1926" spans="1:6" x14ac:dyDescent="0.25">
      <c r="A1926" t="str">
        <f>"51.0910"</f>
        <v>51.0910</v>
      </c>
      <c r="B1926" t="s">
        <v>1824</v>
      </c>
      <c r="C1926" t="s">
        <v>7</v>
      </c>
      <c r="D1926" t="s">
        <v>11</v>
      </c>
      <c r="E1926" t="str">
        <f>"51.0910"</f>
        <v>51.0910</v>
      </c>
      <c r="F1926" t="s">
        <v>1824</v>
      </c>
    </row>
    <row r="1927" spans="1:6" x14ac:dyDescent="0.25">
      <c r="A1927" t="str">
        <f>"51.0911"</f>
        <v>51.0911</v>
      </c>
      <c r="B1927" t="s">
        <v>1825</v>
      </c>
      <c r="C1927" t="s">
        <v>7</v>
      </c>
      <c r="D1927" t="s">
        <v>11</v>
      </c>
      <c r="E1927" t="str">
        <f>"51.0911"</f>
        <v>51.0911</v>
      </c>
      <c r="F1927" t="s">
        <v>1825</v>
      </c>
    </row>
    <row r="1928" spans="1:6" x14ac:dyDescent="0.25">
      <c r="A1928" t="str">
        <f>"51.0912"</f>
        <v>51.0912</v>
      </c>
      <c r="B1928" t="s">
        <v>1826</v>
      </c>
      <c r="C1928" t="s">
        <v>7</v>
      </c>
      <c r="D1928" t="s">
        <v>8</v>
      </c>
      <c r="E1928" t="str">
        <f>"51.0912"</f>
        <v>51.0912</v>
      </c>
      <c r="F1928" t="s">
        <v>1827</v>
      </c>
    </row>
    <row r="1929" spans="1:6" x14ac:dyDescent="0.25">
      <c r="A1929" t="str">
        <f>"51.0913"</f>
        <v>51.0913</v>
      </c>
      <c r="B1929" t="s">
        <v>1828</v>
      </c>
      <c r="C1929" t="s">
        <v>7</v>
      </c>
      <c r="D1929" t="s">
        <v>11</v>
      </c>
      <c r="E1929" t="str">
        <f>"51.0913"</f>
        <v>51.0913</v>
      </c>
      <c r="F1929" t="s">
        <v>1828</v>
      </c>
    </row>
    <row r="1930" spans="1:6" x14ac:dyDescent="0.25">
      <c r="A1930" t="str">
        <f>"51.0914"</f>
        <v>51.0914</v>
      </c>
      <c r="B1930" t="s">
        <v>1829</v>
      </c>
      <c r="C1930" t="s">
        <v>7</v>
      </c>
      <c r="D1930" t="s">
        <v>11</v>
      </c>
      <c r="E1930" t="str">
        <f>"51.0914"</f>
        <v>51.0914</v>
      </c>
      <c r="F1930" t="s">
        <v>1829</v>
      </c>
    </row>
    <row r="1931" spans="1:6" x14ac:dyDescent="0.25">
      <c r="A1931" t="str">
        <f>"51.0915"</f>
        <v>51.0915</v>
      </c>
      <c r="B1931" t="s">
        <v>1830</v>
      </c>
      <c r="C1931" t="s">
        <v>7</v>
      </c>
      <c r="D1931" t="s">
        <v>11</v>
      </c>
      <c r="E1931" t="str">
        <f>"51.0915"</f>
        <v>51.0915</v>
      </c>
      <c r="F1931" t="s">
        <v>1830</v>
      </c>
    </row>
    <row r="1932" spans="1:6" x14ac:dyDescent="0.25">
      <c r="A1932" t="str">
        <f>"51.0916"</f>
        <v>51.0916</v>
      </c>
      <c r="B1932" t="s">
        <v>1831</v>
      </c>
      <c r="C1932" t="s">
        <v>7</v>
      </c>
      <c r="D1932" t="s">
        <v>11</v>
      </c>
      <c r="E1932" t="str">
        <f>"51.0916"</f>
        <v>51.0916</v>
      </c>
      <c r="F1932" t="s">
        <v>1831</v>
      </c>
    </row>
    <row r="1933" spans="1:6" x14ac:dyDescent="0.25">
      <c r="A1933" t="str">
        <f>"51.0917"</f>
        <v>51.0917</v>
      </c>
      <c r="B1933" t="s">
        <v>1832</v>
      </c>
      <c r="C1933" t="s">
        <v>7</v>
      </c>
      <c r="D1933" t="s">
        <v>11</v>
      </c>
      <c r="E1933" t="str">
        <f>"51.0917"</f>
        <v>51.0917</v>
      </c>
      <c r="F1933" t="s">
        <v>1832</v>
      </c>
    </row>
    <row r="1934" spans="1:6" x14ac:dyDescent="0.25">
      <c r="A1934" t="str">
        <f>"51.0918"</f>
        <v>51.0918</v>
      </c>
      <c r="B1934" t="s">
        <v>1833</v>
      </c>
      <c r="C1934" t="s">
        <v>7</v>
      </c>
      <c r="D1934" t="s">
        <v>11</v>
      </c>
      <c r="E1934" t="str">
        <f>"51.0918"</f>
        <v>51.0918</v>
      </c>
      <c r="F1934" t="s">
        <v>1833</v>
      </c>
    </row>
    <row r="1935" spans="1:6" x14ac:dyDescent="0.25">
      <c r="A1935" t="str">
        <f>"51.0919"</f>
        <v>51.0919</v>
      </c>
      <c r="B1935" t="s">
        <v>1834</v>
      </c>
      <c r="C1935" t="s">
        <v>7</v>
      </c>
      <c r="D1935" t="s">
        <v>8</v>
      </c>
      <c r="E1935" t="str">
        <f>"51.0919"</f>
        <v>51.0919</v>
      </c>
      <c r="F1935" t="s">
        <v>1835</v>
      </c>
    </row>
    <row r="1936" spans="1:6" x14ac:dyDescent="0.25">
      <c r="A1936" t="str">
        <f>"51.0920"</f>
        <v>51.0920</v>
      </c>
      <c r="B1936" t="s">
        <v>1836</v>
      </c>
      <c r="C1936" t="s">
        <v>7</v>
      </c>
      <c r="D1936" t="s">
        <v>11</v>
      </c>
      <c r="E1936" t="str">
        <f>"51.0920"</f>
        <v>51.0920</v>
      </c>
      <c r="F1936" t="s">
        <v>1836</v>
      </c>
    </row>
    <row r="1937" spans="1:6" x14ac:dyDescent="0.25">
      <c r="C1937" t="s">
        <v>26</v>
      </c>
      <c r="D1937" t="s">
        <v>11</v>
      </c>
      <c r="E1937" t="str">
        <f>"51.0921"</f>
        <v>51.0921</v>
      </c>
      <c r="F1937" t="s">
        <v>1837</v>
      </c>
    </row>
    <row r="1938" spans="1:6" x14ac:dyDescent="0.25">
      <c r="C1938" t="s">
        <v>26</v>
      </c>
      <c r="D1938" t="s">
        <v>11</v>
      </c>
      <c r="E1938" t="str">
        <f>"51.0922"</f>
        <v>51.0922</v>
      </c>
      <c r="F1938" t="s">
        <v>1838</v>
      </c>
    </row>
    <row r="1939" spans="1:6" x14ac:dyDescent="0.25">
      <c r="C1939" t="s">
        <v>26</v>
      </c>
      <c r="D1939" t="s">
        <v>11</v>
      </c>
      <c r="E1939" t="str">
        <f>"51.0923"</f>
        <v>51.0923</v>
      </c>
      <c r="F1939" t="s">
        <v>1839</v>
      </c>
    </row>
    <row r="1940" spans="1:6" x14ac:dyDescent="0.25">
      <c r="C1940" t="s">
        <v>26</v>
      </c>
      <c r="D1940" t="s">
        <v>11</v>
      </c>
      <c r="E1940" t="str">
        <f>"51.0924"</f>
        <v>51.0924</v>
      </c>
      <c r="F1940" t="s">
        <v>42</v>
      </c>
    </row>
    <row r="1941" spans="1:6" x14ac:dyDescent="0.25">
      <c r="A1941" t="str">
        <f>"51.0999"</f>
        <v>51.0999</v>
      </c>
      <c r="B1941" t="s">
        <v>1840</v>
      </c>
      <c r="C1941" t="s">
        <v>7</v>
      </c>
      <c r="D1941" t="s">
        <v>11</v>
      </c>
      <c r="E1941" t="str">
        <f>"51.0999"</f>
        <v>51.0999</v>
      </c>
      <c r="F1941" t="s">
        <v>1840</v>
      </c>
    </row>
    <row r="1942" spans="1:6" x14ac:dyDescent="0.25">
      <c r="A1942" t="str">
        <f>"51.10"</f>
        <v>51.10</v>
      </c>
      <c r="B1942" t="s">
        <v>1841</v>
      </c>
      <c r="C1942" t="s">
        <v>7</v>
      </c>
      <c r="D1942" t="s">
        <v>11</v>
      </c>
      <c r="E1942" t="str">
        <f>"51.10"</f>
        <v>51.10</v>
      </c>
      <c r="F1942" t="s">
        <v>1841</v>
      </c>
    </row>
    <row r="1943" spans="1:6" x14ac:dyDescent="0.25">
      <c r="A1943" t="str">
        <f>"51.1001"</f>
        <v>51.1001</v>
      </c>
      <c r="B1943" t="s">
        <v>1842</v>
      </c>
      <c r="C1943" t="s">
        <v>7</v>
      </c>
      <c r="D1943" t="s">
        <v>11</v>
      </c>
      <c r="E1943" t="str">
        <f>"51.1001"</f>
        <v>51.1001</v>
      </c>
      <c r="F1943" t="s">
        <v>1842</v>
      </c>
    </row>
    <row r="1944" spans="1:6" x14ac:dyDescent="0.25">
      <c r="A1944" t="str">
        <f>"51.1002"</f>
        <v>51.1002</v>
      </c>
      <c r="B1944" t="s">
        <v>1843</v>
      </c>
      <c r="C1944" t="s">
        <v>7</v>
      </c>
      <c r="D1944" t="s">
        <v>11</v>
      </c>
      <c r="E1944" t="str">
        <f>"51.1002"</f>
        <v>51.1002</v>
      </c>
      <c r="F1944" t="s">
        <v>1843</v>
      </c>
    </row>
    <row r="1945" spans="1:6" x14ac:dyDescent="0.25">
      <c r="A1945" t="str">
        <f>"51.1003"</f>
        <v>51.1003</v>
      </c>
      <c r="B1945" t="s">
        <v>1844</v>
      </c>
      <c r="C1945" t="s">
        <v>7</v>
      </c>
      <c r="D1945" t="s">
        <v>11</v>
      </c>
      <c r="E1945" t="str">
        <f>"51.1003"</f>
        <v>51.1003</v>
      </c>
      <c r="F1945" t="s">
        <v>1844</v>
      </c>
    </row>
    <row r="1946" spans="1:6" x14ac:dyDescent="0.25">
      <c r="A1946" t="str">
        <f>"51.1004"</f>
        <v>51.1004</v>
      </c>
      <c r="B1946" t="s">
        <v>1845</v>
      </c>
      <c r="C1946" t="s">
        <v>7</v>
      </c>
      <c r="D1946" t="s">
        <v>11</v>
      </c>
      <c r="E1946" t="str">
        <f>"51.1004"</f>
        <v>51.1004</v>
      </c>
      <c r="F1946" t="s">
        <v>1845</v>
      </c>
    </row>
    <row r="1947" spans="1:6" x14ac:dyDescent="0.25">
      <c r="A1947" t="str">
        <f>"51.1005"</f>
        <v>51.1005</v>
      </c>
      <c r="B1947" t="s">
        <v>1846</v>
      </c>
      <c r="C1947" t="s">
        <v>7</v>
      </c>
      <c r="D1947" t="s">
        <v>11</v>
      </c>
      <c r="E1947" t="str">
        <f>"51.1005"</f>
        <v>51.1005</v>
      </c>
      <c r="F1947" t="s">
        <v>1846</v>
      </c>
    </row>
    <row r="1948" spans="1:6" x14ac:dyDescent="0.25">
      <c r="A1948" t="str">
        <f>"51.1006"</f>
        <v>51.1006</v>
      </c>
      <c r="B1948" t="s">
        <v>1847</v>
      </c>
      <c r="C1948" t="s">
        <v>7</v>
      </c>
      <c r="D1948" t="s">
        <v>11</v>
      </c>
      <c r="E1948" t="str">
        <f>"51.1006"</f>
        <v>51.1006</v>
      </c>
      <c r="F1948" t="s">
        <v>1847</v>
      </c>
    </row>
    <row r="1949" spans="1:6" x14ac:dyDescent="0.25">
      <c r="A1949" t="str">
        <f>"51.1007"</f>
        <v>51.1007</v>
      </c>
      <c r="B1949" t="s">
        <v>1848</v>
      </c>
      <c r="C1949" t="s">
        <v>7</v>
      </c>
      <c r="D1949" t="s">
        <v>11</v>
      </c>
      <c r="E1949" t="str">
        <f>"51.1007"</f>
        <v>51.1007</v>
      </c>
      <c r="F1949" t="s">
        <v>1848</v>
      </c>
    </row>
    <row r="1950" spans="1:6" x14ac:dyDescent="0.25">
      <c r="A1950" t="str">
        <f>"51.1008"</f>
        <v>51.1008</v>
      </c>
      <c r="B1950" t="s">
        <v>1849</v>
      </c>
      <c r="C1950" t="s">
        <v>7</v>
      </c>
      <c r="D1950" t="s">
        <v>11</v>
      </c>
      <c r="E1950" t="str">
        <f>"51.1008"</f>
        <v>51.1008</v>
      </c>
      <c r="F1950" t="s">
        <v>1849</v>
      </c>
    </row>
    <row r="1951" spans="1:6" x14ac:dyDescent="0.25">
      <c r="A1951" t="str">
        <f>"51.1009"</f>
        <v>51.1009</v>
      </c>
      <c r="B1951" t="s">
        <v>1850</v>
      </c>
      <c r="C1951" t="s">
        <v>7</v>
      </c>
      <c r="D1951" t="s">
        <v>11</v>
      </c>
      <c r="E1951" t="str">
        <f>"51.1009"</f>
        <v>51.1009</v>
      </c>
      <c r="F1951" t="s">
        <v>1850</v>
      </c>
    </row>
    <row r="1952" spans="1:6" x14ac:dyDescent="0.25">
      <c r="A1952" t="str">
        <f>"51.1010"</f>
        <v>51.1010</v>
      </c>
      <c r="B1952" t="s">
        <v>1851</v>
      </c>
      <c r="C1952" t="s">
        <v>7</v>
      </c>
      <c r="D1952" t="s">
        <v>11</v>
      </c>
      <c r="E1952" t="str">
        <f>"51.1010"</f>
        <v>51.1010</v>
      </c>
      <c r="F1952" t="s">
        <v>1851</v>
      </c>
    </row>
    <row r="1953" spans="1:6" x14ac:dyDescent="0.25">
      <c r="A1953" t="str">
        <f>"51.1011"</f>
        <v>51.1011</v>
      </c>
      <c r="B1953" t="s">
        <v>1852</v>
      </c>
      <c r="C1953" t="s">
        <v>7</v>
      </c>
      <c r="D1953" t="s">
        <v>11</v>
      </c>
      <c r="E1953" t="str">
        <f>"51.1011"</f>
        <v>51.1011</v>
      </c>
      <c r="F1953" t="s">
        <v>1852</v>
      </c>
    </row>
    <row r="1954" spans="1:6" x14ac:dyDescent="0.25">
      <c r="A1954" t="str">
        <f>"51.1012"</f>
        <v>51.1012</v>
      </c>
      <c r="B1954" t="s">
        <v>1853</v>
      </c>
      <c r="C1954" t="s">
        <v>7</v>
      </c>
      <c r="D1954" t="s">
        <v>11</v>
      </c>
      <c r="E1954" t="str">
        <f>"51.1012"</f>
        <v>51.1012</v>
      </c>
      <c r="F1954" t="s">
        <v>1853</v>
      </c>
    </row>
    <row r="1955" spans="1:6" x14ac:dyDescent="0.25">
      <c r="A1955" t="str">
        <f>"51.1099"</f>
        <v>51.1099</v>
      </c>
      <c r="B1955" t="s">
        <v>1854</v>
      </c>
      <c r="C1955" t="s">
        <v>7</v>
      </c>
      <c r="D1955" t="s">
        <v>11</v>
      </c>
      <c r="E1955" t="str">
        <f>"51.1099"</f>
        <v>51.1099</v>
      </c>
      <c r="F1955" t="s">
        <v>1854</v>
      </c>
    </row>
    <row r="1956" spans="1:6" x14ac:dyDescent="0.25">
      <c r="A1956" t="str">
        <f>"51.11"</f>
        <v>51.11</v>
      </c>
      <c r="B1956" t="s">
        <v>1855</v>
      </c>
      <c r="C1956" t="s">
        <v>7</v>
      </c>
      <c r="D1956" t="s">
        <v>11</v>
      </c>
      <c r="E1956" t="str">
        <f>"51.11"</f>
        <v>51.11</v>
      </c>
      <c r="F1956" t="s">
        <v>1855</v>
      </c>
    </row>
    <row r="1957" spans="1:6" x14ac:dyDescent="0.25">
      <c r="A1957" t="str">
        <f>"51.1101"</f>
        <v>51.1101</v>
      </c>
      <c r="B1957" t="s">
        <v>1856</v>
      </c>
      <c r="C1957" t="s">
        <v>7</v>
      </c>
      <c r="D1957" t="s">
        <v>11</v>
      </c>
      <c r="E1957" t="str">
        <f>"51.1101"</f>
        <v>51.1101</v>
      </c>
      <c r="F1957" t="s">
        <v>1856</v>
      </c>
    </row>
    <row r="1958" spans="1:6" x14ac:dyDescent="0.25">
      <c r="A1958" t="str">
        <f>"51.1102"</f>
        <v>51.1102</v>
      </c>
      <c r="B1958" t="s">
        <v>1857</v>
      </c>
      <c r="C1958" t="s">
        <v>7</v>
      </c>
      <c r="D1958" t="s">
        <v>11</v>
      </c>
      <c r="E1958" t="str">
        <f>"51.1102"</f>
        <v>51.1102</v>
      </c>
      <c r="F1958" t="s">
        <v>1857</v>
      </c>
    </row>
    <row r="1959" spans="1:6" x14ac:dyDescent="0.25">
      <c r="A1959" t="str">
        <f>"51.1103"</f>
        <v>51.1103</v>
      </c>
      <c r="B1959" t="s">
        <v>1858</v>
      </c>
      <c r="C1959" t="s">
        <v>7</v>
      </c>
      <c r="D1959" t="s">
        <v>11</v>
      </c>
      <c r="E1959" t="str">
        <f>"51.1103"</f>
        <v>51.1103</v>
      </c>
      <c r="F1959" t="s">
        <v>1858</v>
      </c>
    </row>
    <row r="1960" spans="1:6" x14ac:dyDescent="0.25">
      <c r="A1960" t="str">
        <f>"51.1104"</f>
        <v>51.1104</v>
      </c>
      <c r="B1960" t="s">
        <v>1859</v>
      </c>
      <c r="C1960" t="s">
        <v>38</v>
      </c>
      <c r="D1960" t="s">
        <v>11</v>
      </c>
      <c r="E1960" t="str">
        <f>"01.1302"</f>
        <v>01.1302</v>
      </c>
      <c r="F1960" t="s">
        <v>1859</v>
      </c>
    </row>
    <row r="1961" spans="1:6" x14ac:dyDescent="0.25">
      <c r="A1961" t="str">
        <f>"51.1105"</f>
        <v>51.1105</v>
      </c>
      <c r="B1961" t="s">
        <v>1860</v>
      </c>
      <c r="C1961" t="s">
        <v>7</v>
      </c>
      <c r="D1961" t="s">
        <v>11</v>
      </c>
      <c r="E1961" t="str">
        <f>"51.1105"</f>
        <v>51.1105</v>
      </c>
      <c r="F1961" t="s">
        <v>1860</v>
      </c>
    </row>
    <row r="1962" spans="1:6" x14ac:dyDescent="0.25">
      <c r="A1962" t="str">
        <f>"51.1106"</f>
        <v>51.1106</v>
      </c>
      <c r="B1962" t="s">
        <v>1861</v>
      </c>
      <c r="C1962" t="s">
        <v>7</v>
      </c>
      <c r="D1962" t="s">
        <v>11</v>
      </c>
      <c r="E1962" t="str">
        <f>"51.1106"</f>
        <v>51.1106</v>
      </c>
      <c r="F1962" t="s">
        <v>1861</v>
      </c>
    </row>
    <row r="1963" spans="1:6" x14ac:dyDescent="0.25">
      <c r="A1963" t="str">
        <f>"51.1107"</f>
        <v>51.1107</v>
      </c>
      <c r="B1963" t="s">
        <v>1862</v>
      </c>
      <c r="C1963" t="s">
        <v>7</v>
      </c>
      <c r="D1963" t="s">
        <v>11</v>
      </c>
      <c r="E1963" t="str">
        <f>"51.1107"</f>
        <v>51.1107</v>
      </c>
      <c r="F1963" t="s">
        <v>1862</v>
      </c>
    </row>
    <row r="1964" spans="1:6" x14ac:dyDescent="0.25">
      <c r="A1964" t="str">
        <f>"51.1108"</f>
        <v>51.1108</v>
      </c>
      <c r="B1964" t="s">
        <v>1863</v>
      </c>
      <c r="C1964" t="s">
        <v>7</v>
      </c>
      <c r="D1964" t="s">
        <v>11</v>
      </c>
      <c r="E1964" t="str">
        <f>"51.1108"</f>
        <v>51.1108</v>
      </c>
      <c r="F1964" t="s">
        <v>1863</v>
      </c>
    </row>
    <row r="1965" spans="1:6" x14ac:dyDescent="0.25">
      <c r="A1965" t="str">
        <f>"51.1109"</f>
        <v>51.1109</v>
      </c>
      <c r="B1965" t="s">
        <v>1864</v>
      </c>
      <c r="C1965" t="s">
        <v>7</v>
      </c>
      <c r="D1965" t="s">
        <v>11</v>
      </c>
      <c r="E1965" t="str">
        <f>"51.1109"</f>
        <v>51.1109</v>
      </c>
      <c r="F1965" t="s">
        <v>1864</v>
      </c>
    </row>
    <row r="1966" spans="1:6" x14ac:dyDescent="0.25">
      <c r="C1966" t="s">
        <v>26</v>
      </c>
      <c r="D1966" t="s">
        <v>11</v>
      </c>
      <c r="E1966" t="str">
        <f>"51.1110"</f>
        <v>51.1110</v>
      </c>
      <c r="F1966" t="s">
        <v>1865</v>
      </c>
    </row>
    <row r="1967" spans="1:6" x14ac:dyDescent="0.25">
      <c r="C1967" t="s">
        <v>26</v>
      </c>
      <c r="D1967" t="s">
        <v>11</v>
      </c>
      <c r="E1967" t="str">
        <f>"51.1111"</f>
        <v>51.1111</v>
      </c>
      <c r="F1967" t="s">
        <v>1866</v>
      </c>
    </row>
    <row r="1968" spans="1:6" x14ac:dyDescent="0.25">
      <c r="A1968" t="str">
        <f>"51.1199"</f>
        <v>51.1199</v>
      </c>
      <c r="B1968" t="s">
        <v>1867</v>
      </c>
      <c r="C1968" t="s">
        <v>7</v>
      </c>
      <c r="D1968" t="s">
        <v>11</v>
      </c>
      <c r="E1968" t="str">
        <f>"51.1199"</f>
        <v>51.1199</v>
      </c>
      <c r="F1968" t="s">
        <v>1867</v>
      </c>
    </row>
    <row r="1969" spans="1:6" x14ac:dyDescent="0.25">
      <c r="A1969" t="str">
        <f>"51.12"</f>
        <v>51.12</v>
      </c>
      <c r="B1969" t="s">
        <v>1868</v>
      </c>
      <c r="C1969" t="s">
        <v>7</v>
      </c>
      <c r="D1969" t="s">
        <v>8</v>
      </c>
      <c r="E1969" t="str">
        <f>"51.12"</f>
        <v>51.12</v>
      </c>
      <c r="F1969" t="s">
        <v>1868</v>
      </c>
    </row>
    <row r="1970" spans="1:6" x14ac:dyDescent="0.25">
      <c r="A1970" t="str">
        <f>"51.1201"</f>
        <v>51.1201</v>
      </c>
      <c r="B1970" t="s">
        <v>1868</v>
      </c>
      <c r="C1970" t="s">
        <v>7</v>
      </c>
      <c r="D1970" t="s">
        <v>11</v>
      </c>
      <c r="E1970" t="str">
        <f>"51.1201"</f>
        <v>51.1201</v>
      </c>
      <c r="F1970" t="s">
        <v>1868</v>
      </c>
    </row>
    <row r="1971" spans="1:6" x14ac:dyDescent="0.25">
      <c r="C1971" t="s">
        <v>26</v>
      </c>
      <c r="D1971" t="s">
        <v>11</v>
      </c>
      <c r="E1971" t="str">
        <f>"51.1299"</f>
        <v>51.1299</v>
      </c>
      <c r="F1971" t="s">
        <v>1869</v>
      </c>
    </row>
    <row r="1972" spans="1:6" x14ac:dyDescent="0.25">
      <c r="A1972" t="str">
        <f>"51.14"</f>
        <v>51.14</v>
      </c>
      <c r="B1972" t="s">
        <v>1870</v>
      </c>
      <c r="C1972" t="s">
        <v>7</v>
      </c>
      <c r="D1972" t="s">
        <v>8</v>
      </c>
      <c r="E1972" t="str">
        <f>"51.14"</f>
        <v>51.14</v>
      </c>
      <c r="F1972" t="s">
        <v>1870</v>
      </c>
    </row>
    <row r="1973" spans="1:6" x14ac:dyDescent="0.25">
      <c r="A1973" t="str">
        <f>"51.1401"</f>
        <v>51.1401</v>
      </c>
      <c r="B1973" t="s">
        <v>1871</v>
      </c>
      <c r="C1973" t="s">
        <v>7</v>
      </c>
      <c r="D1973" t="s">
        <v>8</v>
      </c>
      <c r="E1973" t="str">
        <f>"51.1401"</f>
        <v>51.1401</v>
      </c>
      <c r="F1973" t="s">
        <v>1872</v>
      </c>
    </row>
    <row r="1974" spans="1:6" x14ac:dyDescent="0.25">
      <c r="C1974" t="s">
        <v>26</v>
      </c>
      <c r="D1974" t="s">
        <v>11</v>
      </c>
      <c r="E1974" t="str">
        <f>"51.1402"</f>
        <v>51.1402</v>
      </c>
      <c r="F1974" t="s">
        <v>1873</v>
      </c>
    </row>
    <row r="1975" spans="1:6" x14ac:dyDescent="0.25">
      <c r="C1975" t="s">
        <v>26</v>
      </c>
      <c r="D1975" t="s">
        <v>11</v>
      </c>
      <c r="E1975" t="str">
        <f>"51.1403"</f>
        <v>51.1403</v>
      </c>
      <c r="F1975" t="s">
        <v>1874</v>
      </c>
    </row>
    <row r="1976" spans="1:6" x14ac:dyDescent="0.25">
      <c r="C1976" t="s">
        <v>26</v>
      </c>
      <c r="D1976" t="s">
        <v>11</v>
      </c>
      <c r="E1976" t="str">
        <f>"51.1404"</f>
        <v>51.1404</v>
      </c>
      <c r="F1976" t="s">
        <v>1875</v>
      </c>
    </row>
    <row r="1977" spans="1:6" x14ac:dyDescent="0.25">
      <c r="C1977" t="s">
        <v>26</v>
      </c>
      <c r="D1977" t="s">
        <v>11</v>
      </c>
      <c r="E1977" t="str">
        <f>"51.1405"</f>
        <v>51.1405</v>
      </c>
      <c r="F1977" t="s">
        <v>1876</v>
      </c>
    </row>
    <row r="1978" spans="1:6" x14ac:dyDescent="0.25">
      <c r="C1978" t="s">
        <v>26</v>
      </c>
      <c r="D1978" t="s">
        <v>11</v>
      </c>
      <c r="E1978" t="str">
        <f>"51.1499"</f>
        <v>51.1499</v>
      </c>
      <c r="F1978" t="s">
        <v>1877</v>
      </c>
    </row>
    <row r="1979" spans="1:6" x14ac:dyDescent="0.25">
      <c r="A1979" t="str">
        <f>"51.15"</f>
        <v>51.15</v>
      </c>
      <c r="B1979" t="s">
        <v>1878</v>
      </c>
      <c r="C1979" t="s">
        <v>7</v>
      </c>
      <c r="D1979" t="s">
        <v>11</v>
      </c>
      <c r="E1979" t="str">
        <f>"51.15"</f>
        <v>51.15</v>
      </c>
      <c r="F1979" t="s">
        <v>1878</v>
      </c>
    </row>
    <row r="1980" spans="1:6" x14ac:dyDescent="0.25">
      <c r="A1980" t="str">
        <f>"51.1501"</f>
        <v>51.1501</v>
      </c>
      <c r="B1980" t="s">
        <v>1879</v>
      </c>
      <c r="C1980" t="s">
        <v>7</v>
      </c>
      <c r="D1980" t="s">
        <v>11</v>
      </c>
      <c r="E1980" t="str">
        <f>"51.1501"</f>
        <v>51.1501</v>
      </c>
      <c r="F1980" t="s">
        <v>1879</v>
      </c>
    </row>
    <row r="1981" spans="1:6" x14ac:dyDescent="0.25">
      <c r="A1981" t="str">
        <f>"51.1502"</f>
        <v>51.1502</v>
      </c>
      <c r="B1981" t="s">
        <v>1880</v>
      </c>
      <c r="C1981" t="s">
        <v>7</v>
      </c>
      <c r="D1981" t="s">
        <v>11</v>
      </c>
      <c r="E1981" t="str">
        <f>"51.1502"</f>
        <v>51.1502</v>
      </c>
      <c r="F1981" t="s">
        <v>1880</v>
      </c>
    </row>
    <row r="1982" spans="1:6" x14ac:dyDescent="0.25">
      <c r="A1982" t="str">
        <f>"51.1503"</f>
        <v>51.1503</v>
      </c>
      <c r="B1982" t="s">
        <v>1881</v>
      </c>
      <c r="C1982" t="s">
        <v>7</v>
      </c>
      <c r="D1982" t="s">
        <v>11</v>
      </c>
      <c r="E1982" t="str">
        <f>"51.1503"</f>
        <v>51.1503</v>
      </c>
      <c r="F1982" t="s">
        <v>1881</v>
      </c>
    </row>
    <row r="1983" spans="1:6" x14ac:dyDescent="0.25">
      <c r="A1983" t="str">
        <f>"51.1504"</f>
        <v>51.1504</v>
      </c>
      <c r="B1983" t="s">
        <v>1882</v>
      </c>
      <c r="C1983" t="s">
        <v>7</v>
      </c>
      <c r="D1983" t="s">
        <v>11</v>
      </c>
      <c r="E1983" t="str">
        <f>"51.1504"</f>
        <v>51.1504</v>
      </c>
      <c r="F1983" t="s">
        <v>1882</v>
      </c>
    </row>
    <row r="1984" spans="1:6" x14ac:dyDescent="0.25">
      <c r="A1984" t="str">
        <f>"51.1505"</f>
        <v>51.1505</v>
      </c>
      <c r="B1984" t="s">
        <v>1883</v>
      </c>
      <c r="C1984" t="s">
        <v>7</v>
      </c>
      <c r="D1984" t="s">
        <v>11</v>
      </c>
      <c r="E1984" t="str">
        <f>"51.1505"</f>
        <v>51.1505</v>
      </c>
      <c r="F1984" t="s">
        <v>1883</v>
      </c>
    </row>
    <row r="1985" spans="1:6" x14ac:dyDescent="0.25">
      <c r="A1985" t="str">
        <f>"51.1506"</f>
        <v>51.1506</v>
      </c>
      <c r="B1985" t="s">
        <v>1884</v>
      </c>
      <c r="C1985" t="s">
        <v>7</v>
      </c>
      <c r="D1985" t="s">
        <v>11</v>
      </c>
      <c r="E1985" t="str">
        <f>"51.1506"</f>
        <v>51.1506</v>
      </c>
      <c r="F1985" t="s">
        <v>1884</v>
      </c>
    </row>
    <row r="1986" spans="1:6" x14ac:dyDescent="0.25">
      <c r="A1986" t="str">
        <f>"51.1507"</f>
        <v>51.1507</v>
      </c>
      <c r="B1986" t="s">
        <v>1885</v>
      </c>
      <c r="C1986" t="s">
        <v>7</v>
      </c>
      <c r="D1986" t="s">
        <v>11</v>
      </c>
      <c r="E1986" t="str">
        <f>"51.1507"</f>
        <v>51.1507</v>
      </c>
      <c r="F1986" t="s">
        <v>1885</v>
      </c>
    </row>
    <row r="1987" spans="1:6" x14ac:dyDescent="0.25">
      <c r="A1987" t="str">
        <f>"51.1508"</f>
        <v>51.1508</v>
      </c>
      <c r="B1987" t="s">
        <v>1886</v>
      </c>
      <c r="C1987" t="s">
        <v>7</v>
      </c>
      <c r="D1987" t="s">
        <v>11</v>
      </c>
      <c r="E1987" t="str">
        <f>"51.1508"</f>
        <v>51.1508</v>
      </c>
      <c r="F1987" t="s">
        <v>1886</v>
      </c>
    </row>
    <row r="1988" spans="1:6" x14ac:dyDescent="0.25">
      <c r="A1988" t="str">
        <f>"51.1509"</f>
        <v>51.1509</v>
      </c>
      <c r="B1988" t="s">
        <v>1887</v>
      </c>
      <c r="C1988" t="s">
        <v>7</v>
      </c>
      <c r="D1988" t="s">
        <v>11</v>
      </c>
      <c r="E1988" t="str">
        <f>"51.1509"</f>
        <v>51.1509</v>
      </c>
      <c r="F1988" t="s">
        <v>1887</v>
      </c>
    </row>
    <row r="1989" spans="1:6" x14ac:dyDescent="0.25">
      <c r="C1989" t="s">
        <v>26</v>
      </c>
      <c r="D1989" t="s">
        <v>11</v>
      </c>
      <c r="E1989" t="str">
        <f>"51.1510"</f>
        <v>51.1510</v>
      </c>
      <c r="F1989" t="s">
        <v>1888</v>
      </c>
    </row>
    <row r="1990" spans="1:6" x14ac:dyDescent="0.25">
      <c r="C1990" t="s">
        <v>26</v>
      </c>
      <c r="D1990" t="s">
        <v>11</v>
      </c>
      <c r="E1990" t="str">
        <f>"51.1511"</f>
        <v>51.1511</v>
      </c>
      <c r="F1990" t="s">
        <v>1889</v>
      </c>
    </row>
    <row r="1991" spans="1:6" x14ac:dyDescent="0.25">
      <c r="C1991" t="s">
        <v>26</v>
      </c>
      <c r="D1991" t="s">
        <v>11</v>
      </c>
      <c r="E1991" t="str">
        <f>"51.1512"</f>
        <v>51.1512</v>
      </c>
      <c r="F1991" t="s">
        <v>1890</v>
      </c>
    </row>
    <row r="1992" spans="1:6" x14ac:dyDescent="0.25">
      <c r="C1992" t="s">
        <v>26</v>
      </c>
      <c r="D1992" t="s">
        <v>11</v>
      </c>
      <c r="E1992" t="str">
        <f>"51.1513"</f>
        <v>51.1513</v>
      </c>
      <c r="F1992" t="s">
        <v>1891</v>
      </c>
    </row>
    <row r="1993" spans="1:6" x14ac:dyDescent="0.25">
      <c r="C1993" t="s">
        <v>26</v>
      </c>
      <c r="D1993" t="s">
        <v>11</v>
      </c>
      <c r="E1993" t="str">
        <f>"51.1580"</f>
        <v>51.1580</v>
      </c>
      <c r="F1993" t="s">
        <v>42</v>
      </c>
    </row>
    <row r="1994" spans="1:6" x14ac:dyDescent="0.25">
      <c r="A1994" t="str">
        <f>"51.1599"</f>
        <v>51.1599</v>
      </c>
      <c r="B1994" t="s">
        <v>1892</v>
      </c>
      <c r="C1994" t="s">
        <v>7</v>
      </c>
      <c r="D1994" t="s">
        <v>11</v>
      </c>
      <c r="E1994" t="str">
        <f>"51.1599"</f>
        <v>51.1599</v>
      </c>
      <c r="F1994" t="s">
        <v>1892</v>
      </c>
    </row>
    <row r="1995" spans="1:6" x14ac:dyDescent="0.25">
      <c r="A1995" t="str">
        <f>"51.17"</f>
        <v>51.17</v>
      </c>
      <c r="B1995" t="s">
        <v>1893</v>
      </c>
      <c r="C1995" t="s">
        <v>7</v>
      </c>
      <c r="D1995" t="s">
        <v>11</v>
      </c>
      <c r="E1995" t="str">
        <f>"51.17"</f>
        <v>51.17</v>
      </c>
      <c r="F1995" t="s">
        <v>1893</v>
      </c>
    </row>
    <row r="1996" spans="1:6" x14ac:dyDescent="0.25">
      <c r="A1996" t="str">
        <f>"51.1701"</f>
        <v>51.1701</v>
      </c>
      <c r="B1996" t="s">
        <v>1893</v>
      </c>
      <c r="C1996" t="s">
        <v>7</v>
      </c>
      <c r="D1996" t="s">
        <v>11</v>
      </c>
      <c r="E1996" t="str">
        <f>"51.1701"</f>
        <v>51.1701</v>
      </c>
      <c r="F1996" t="s">
        <v>1893</v>
      </c>
    </row>
    <row r="1997" spans="1:6" x14ac:dyDescent="0.25">
      <c r="A1997" t="str">
        <f>"51.18"</f>
        <v>51.18</v>
      </c>
      <c r="B1997" t="s">
        <v>1894</v>
      </c>
      <c r="C1997" t="s">
        <v>7</v>
      </c>
      <c r="D1997" t="s">
        <v>11</v>
      </c>
      <c r="E1997" t="str">
        <f>"51.18"</f>
        <v>51.18</v>
      </c>
      <c r="F1997" t="s">
        <v>1894</v>
      </c>
    </row>
    <row r="1998" spans="1:6" x14ac:dyDescent="0.25">
      <c r="A1998" t="str">
        <f>"51.1801"</f>
        <v>51.1801</v>
      </c>
      <c r="B1998" t="s">
        <v>1895</v>
      </c>
      <c r="C1998" t="s">
        <v>7</v>
      </c>
      <c r="D1998" t="s">
        <v>11</v>
      </c>
      <c r="E1998" t="str">
        <f>"51.1801"</f>
        <v>51.1801</v>
      </c>
      <c r="F1998" t="s">
        <v>1895</v>
      </c>
    </row>
    <row r="1999" spans="1:6" x14ac:dyDescent="0.25">
      <c r="A1999" t="str">
        <f>"51.1802"</f>
        <v>51.1802</v>
      </c>
      <c r="B1999" t="s">
        <v>1896</v>
      </c>
      <c r="C1999" t="s">
        <v>7</v>
      </c>
      <c r="D1999" t="s">
        <v>11</v>
      </c>
      <c r="E1999" t="str">
        <f>"51.1802"</f>
        <v>51.1802</v>
      </c>
      <c r="F1999" t="s">
        <v>1896</v>
      </c>
    </row>
    <row r="2000" spans="1:6" x14ac:dyDescent="0.25">
      <c r="A2000" t="str">
        <f>"51.1803"</f>
        <v>51.1803</v>
      </c>
      <c r="B2000" t="s">
        <v>1897</v>
      </c>
      <c r="C2000" t="s">
        <v>7</v>
      </c>
      <c r="D2000" t="s">
        <v>11</v>
      </c>
      <c r="E2000" t="str">
        <f>"51.1803"</f>
        <v>51.1803</v>
      </c>
      <c r="F2000" t="s">
        <v>1897</v>
      </c>
    </row>
    <row r="2001" spans="1:6" x14ac:dyDescent="0.25">
      <c r="A2001" t="str">
        <f>"51.1804"</f>
        <v>51.1804</v>
      </c>
      <c r="B2001" t="s">
        <v>1898</v>
      </c>
      <c r="C2001" t="s">
        <v>7</v>
      </c>
      <c r="D2001" t="s">
        <v>11</v>
      </c>
      <c r="E2001" t="str">
        <f>"51.1804"</f>
        <v>51.1804</v>
      </c>
      <c r="F2001" t="s">
        <v>1898</v>
      </c>
    </row>
    <row r="2002" spans="1:6" x14ac:dyDescent="0.25">
      <c r="A2002" t="str">
        <f>"51.1899"</f>
        <v>51.1899</v>
      </c>
      <c r="B2002" t="s">
        <v>1899</v>
      </c>
      <c r="C2002" t="s">
        <v>7</v>
      </c>
      <c r="D2002" t="s">
        <v>11</v>
      </c>
      <c r="E2002" t="str">
        <f>"51.1899"</f>
        <v>51.1899</v>
      </c>
      <c r="F2002" t="s">
        <v>1899</v>
      </c>
    </row>
    <row r="2003" spans="1:6" x14ac:dyDescent="0.25">
      <c r="A2003" t="str">
        <f>"51.19"</f>
        <v>51.19</v>
      </c>
      <c r="B2003" t="s">
        <v>1900</v>
      </c>
      <c r="C2003" t="s">
        <v>1512</v>
      </c>
      <c r="D2003" t="s">
        <v>11</v>
      </c>
      <c r="E2003" t="str">
        <f>"51.19"</f>
        <v>51.19</v>
      </c>
      <c r="F2003" t="s">
        <v>1901</v>
      </c>
    </row>
    <row r="2004" spans="1:6" x14ac:dyDescent="0.25">
      <c r="A2004" t="str">
        <f>"51.1901"</f>
        <v>51.1901</v>
      </c>
      <c r="B2004" t="s">
        <v>1900</v>
      </c>
      <c r="C2004" t="s">
        <v>38</v>
      </c>
      <c r="D2004" t="s">
        <v>11</v>
      </c>
      <c r="E2004" t="str">
        <f>"51.1202"</f>
        <v>51.1202</v>
      </c>
      <c r="F2004" t="s">
        <v>1900</v>
      </c>
    </row>
    <row r="2005" spans="1:6" x14ac:dyDescent="0.25">
      <c r="A2005" t="str">
        <f>"51.20"</f>
        <v>51.20</v>
      </c>
      <c r="B2005" t="s">
        <v>1902</v>
      </c>
      <c r="C2005" t="s">
        <v>7</v>
      </c>
      <c r="D2005" t="s">
        <v>11</v>
      </c>
      <c r="E2005" t="str">
        <f>"51.20"</f>
        <v>51.20</v>
      </c>
      <c r="F2005" t="s">
        <v>1902</v>
      </c>
    </row>
    <row r="2006" spans="1:6" x14ac:dyDescent="0.25">
      <c r="A2006" t="str">
        <f>"51.2001"</f>
        <v>51.2001</v>
      </c>
      <c r="B2006" t="s">
        <v>1903</v>
      </c>
      <c r="C2006" t="s">
        <v>7</v>
      </c>
      <c r="D2006" t="s">
        <v>11</v>
      </c>
      <c r="E2006" t="str">
        <f>"51.2001"</f>
        <v>51.2001</v>
      </c>
      <c r="F2006" t="s">
        <v>1903</v>
      </c>
    </row>
    <row r="2007" spans="1:6" x14ac:dyDescent="0.25">
      <c r="A2007" t="str">
        <f>"51.2002"</f>
        <v>51.2002</v>
      </c>
      <c r="B2007" t="s">
        <v>1904</v>
      </c>
      <c r="C2007" t="s">
        <v>7</v>
      </c>
      <c r="D2007" t="s">
        <v>11</v>
      </c>
      <c r="E2007" t="str">
        <f>"51.2002"</f>
        <v>51.2002</v>
      </c>
      <c r="F2007" t="s">
        <v>1904</v>
      </c>
    </row>
    <row r="2008" spans="1:6" x14ac:dyDescent="0.25">
      <c r="A2008" t="str">
        <f>"51.2003"</f>
        <v>51.2003</v>
      </c>
      <c r="B2008" t="s">
        <v>1905</v>
      </c>
      <c r="C2008" t="s">
        <v>7</v>
      </c>
      <c r="D2008" t="s">
        <v>11</v>
      </c>
      <c r="E2008" t="str">
        <f>"51.2003"</f>
        <v>51.2003</v>
      </c>
      <c r="F2008" t="s">
        <v>1905</v>
      </c>
    </row>
    <row r="2009" spans="1:6" x14ac:dyDescent="0.25">
      <c r="A2009" t="str">
        <f>"51.2004"</f>
        <v>51.2004</v>
      </c>
      <c r="B2009" t="s">
        <v>1906</v>
      </c>
      <c r="C2009" t="s">
        <v>7</v>
      </c>
      <c r="D2009" t="s">
        <v>11</v>
      </c>
      <c r="E2009" t="str">
        <f>"51.2004"</f>
        <v>51.2004</v>
      </c>
      <c r="F2009" t="s">
        <v>1906</v>
      </c>
    </row>
    <row r="2010" spans="1:6" x14ac:dyDescent="0.25">
      <c r="A2010" t="str">
        <f>"51.2005"</f>
        <v>51.2005</v>
      </c>
      <c r="B2010" t="s">
        <v>1907</v>
      </c>
      <c r="C2010" t="s">
        <v>7</v>
      </c>
      <c r="D2010" t="s">
        <v>11</v>
      </c>
      <c r="E2010" t="str">
        <f>"51.2005"</f>
        <v>51.2005</v>
      </c>
      <c r="F2010" t="s">
        <v>1907</v>
      </c>
    </row>
    <row r="2011" spans="1:6" x14ac:dyDescent="0.25">
      <c r="A2011" t="str">
        <f>"51.2006"</f>
        <v>51.2006</v>
      </c>
      <c r="B2011" t="s">
        <v>1908</v>
      </c>
      <c r="C2011" t="s">
        <v>7</v>
      </c>
      <c r="D2011" t="s">
        <v>11</v>
      </c>
      <c r="E2011" t="str">
        <f>"51.2006"</f>
        <v>51.2006</v>
      </c>
      <c r="F2011" t="s">
        <v>1908</v>
      </c>
    </row>
    <row r="2012" spans="1:6" x14ac:dyDescent="0.25">
      <c r="A2012" t="str">
        <f>"51.2007"</f>
        <v>51.2007</v>
      </c>
      <c r="B2012" t="s">
        <v>1909</v>
      </c>
      <c r="C2012" t="s">
        <v>7</v>
      </c>
      <c r="D2012" t="s">
        <v>11</v>
      </c>
      <c r="E2012" t="str">
        <f>"51.2007"</f>
        <v>51.2007</v>
      </c>
      <c r="F2012" t="s">
        <v>1909</v>
      </c>
    </row>
    <row r="2013" spans="1:6" x14ac:dyDescent="0.25">
      <c r="A2013" t="str">
        <f>"51.2008"</f>
        <v>51.2008</v>
      </c>
      <c r="B2013" t="s">
        <v>1910</v>
      </c>
      <c r="C2013" t="s">
        <v>7</v>
      </c>
      <c r="D2013" t="s">
        <v>11</v>
      </c>
      <c r="E2013" t="str">
        <f>"51.2008"</f>
        <v>51.2008</v>
      </c>
      <c r="F2013" t="s">
        <v>1910</v>
      </c>
    </row>
    <row r="2014" spans="1:6" x14ac:dyDescent="0.25">
      <c r="A2014" t="str">
        <f>"51.2009"</f>
        <v>51.2009</v>
      </c>
      <c r="B2014" t="s">
        <v>1911</v>
      </c>
      <c r="C2014" t="s">
        <v>7</v>
      </c>
      <c r="D2014" t="s">
        <v>11</v>
      </c>
      <c r="E2014" t="str">
        <f>"51.2009"</f>
        <v>51.2009</v>
      </c>
      <c r="F2014" t="s">
        <v>1911</v>
      </c>
    </row>
    <row r="2015" spans="1:6" x14ac:dyDescent="0.25">
      <c r="A2015" t="str">
        <f>"51.2010"</f>
        <v>51.2010</v>
      </c>
      <c r="B2015" t="s">
        <v>1912</v>
      </c>
      <c r="C2015" t="s">
        <v>7</v>
      </c>
      <c r="D2015" t="s">
        <v>11</v>
      </c>
      <c r="E2015" t="str">
        <f>"51.2010"</f>
        <v>51.2010</v>
      </c>
      <c r="F2015" t="s">
        <v>1912</v>
      </c>
    </row>
    <row r="2016" spans="1:6" x14ac:dyDescent="0.25">
      <c r="A2016" t="str">
        <f>"51.2011"</f>
        <v>51.2011</v>
      </c>
      <c r="B2016" t="s">
        <v>1913</v>
      </c>
      <c r="C2016" t="s">
        <v>7</v>
      </c>
      <c r="D2016" t="s">
        <v>11</v>
      </c>
      <c r="E2016" t="str">
        <f>"51.2011"</f>
        <v>51.2011</v>
      </c>
      <c r="F2016" t="s">
        <v>1913</v>
      </c>
    </row>
    <row r="2017" spans="1:6" x14ac:dyDescent="0.25">
      <c r="A2017" t="str">
        <f>"51.2099"</f>
        <v>51.2099</v>
      </c>
      <c r="B2017" t="s">
        <v>1914</v>
      </c>
      <c r="C2017" t="s">
        <v>7</v>
      </c>
      <c r="D2017" t="s">
        <v>11</v>
      </c>
      <c r="E2017" t="str">
        <f>"51.2099"</f>
        <v>51.2099</v>
      </c>
      <c r="F2017" t="s">
        <v>1914</v>
      </c>
    </row>
    <row r="2018" spans="1:6" x14ac:dyDescent="0.25">
      <c r="A2018" t="str">
        <f>"51.21"</f>
        <v>51.21</v>
      </c>
      <c r="B2018" t="s">
        <v>1915</v>
      </c>
      <c r="C2018" t="s">
        <v>1512</v>
      </c>
      <c r="D2018" t="s">
        <v>11</v>
      </c>
      <c r="E2018" t="str">
        <f>"51.21"</f>
        <v>51.21</v>
      </c>
      <c r="F2018" t="s">
        <v>1916</v>
      </c>
    </row>
    <row r="2019" spans="1:6" x14ac:dyDescent="0.25">
      <c r="A2019" t="str">
        <f>"51.2101"</f>
        <v>51.2101</v>
      </c>
      <c r="B2019" t="s">
        <v>1915</v>
      </c>
      <c r="C2019" t="s">
        <v>38</v>
      </c>
      <c r="D2019" t="s">
        <v>11</v>
      </c>
      <c r="E2019" t="str">
        <f>"51.1203"</f>
        <v>51.1203</v>
      </c>
      <c r="F2019" t="s">
        <v>1915</v>
      </c>
    </row>
    <row r="2020" spans="1:6" x14ac:dyDescent="0.25">
      <c r="A2020" t="str">
        <f>"51.22"</f>
        <v>51.22</v>
      </c>
      <c r="B2020" t="s">
        <v>1917</v>
      </c>
      <c r="C2020" t="s">
        <v>7</v>
      </c>
      <c r="D2020" t="s">
        <v>11</v>
      </c>
      <c r="E2020" t="str">
        <f>"51.22"</f>
        <v>51.22</v>
      </c>
      <c r="F2020" t="s">
        <v>1917</v>
      </c>
    </row>
    <row r="2021" spans="1:6" x14ac:dyDescent="0.25">
      <c r="A2021" t="str">
        <f>"51.2201"</f>
        <v>51.2201</v>
      </c>
      <c r="B2021" t="s">
        <v>1918</v>
      </c>
      <c r="C2021" t="s">
        <v>7</v>
      </c>
      <c r="D2021" t="s">
        <v>11</v>
      </c>
      <c r="E2021" t="str">
        <f>"51.2201"</f>
        <v>51.2201</v>
      </c>
      <c r="F2021" t="s">
        <v>1918</v>
      </c>
    </row>
    <row r="2022" spans="1:6" x14ac:dyDescent="0.25">
      <c r="A2022" t="str">
        <f>"51.2202"</f>
        <v>51.2202</v>
      </c>
      <c r="B2022" t="s">
        <v>1919</v>
      </c>
      <c r="C2022" t="s">
        <v>7</v>
      </c>
      <c r="D2022" t="s">
        <v>11</v>
      </c>
      <c r="E2022" t="str">
        <f>"51.2202"</f>
        <v>51.2202</v>
      </c>
      <c r="F2022" t="s">
        <v>1919</v>
      </c>
    </row>
    <row r="2023" spans="1:6" x14ac:dyDescent="0.25">
      <c r="A2023" t="str">
        <f>"51.2205"</f>
        <v>51.2205</v>
      </c>
      <c r="B2023" t="s">
        <v>1920</v>
      </c>
      <c r="C2023" t="s">
        <v>7</v>
      </c>
      <c r="D2023" t="s">
        <v>11</v>
      </c>
      <c r="E2023" t="str">
        <f>"51.2205"</f>
        <v>51.2205</v>
      </c>
      <c r="F2023" t="s">
        <v>1920</v>
      </c>
    </row>
    <row r="2024" spans="1:6" x14ac:dyDescent="0.25">
      <c r="A2024" t="str">
        <f>"51.2206"</f>
        <v>51.2206</v>
      </c>
      <c r="B2024" t="s">
        <v>1921</v>
      </c>
      <c r="C2024" t="s">
        <v>7</v>
      </c>
      <c r="D2024" t="s">
        <v>11</v>
      </c>
      <c r="E2024" t="str">
        <f>"51.2206"</f>
        <v>51.2206</v>
      </c>
      <c r="F2024" t="s">
        <v>1921</v>
      </c>
    </row>
    <row r="2025" spans="1:6" x14ac:dyDescent="0.25">
      <c r="A2025" t="str">
        <f>"51.2207"</f>
        <v>51.2207</v>
      </c>
      <c r="B2025" t="s">
        <v>1922</v>
      </c>
      <c r="C2025" t="s">
        <v>7</v>
      </c>
      <c r="D2025" t="s">
        <v>11</v>
      </c>
      <c r="E2025" t="str">
        <f>"51.2207"</f>
        <v>51.2207</v>
      </c>
      <c r="F2025" t="s">
        <v>1922</v>
      </c>
    </row>
    <row r="2026" spans="1:6" x14ac:dyDescent="0.25">
      <c r="A2026" t="str">
        <f>"51.2208"</f>
        <v>51.2208</v>
      </c>
      <c r="B2026" t="s">
        <v>1923</v>
      </c>
      <c r="C2026" t="s">
        <v>7</v>
      </c>
      <c r="D2026" t="s">
        <v>11</v>
      </c>
      <c r="E2026" t="str">
        <f>"51.2208"</f>
        <v>51.2208</v>
      </c>
      <c r="F2026" t="s">
        <v>1923</v>
      </c>
    </row>
    <row r="2027" spans="1:6" x14ac:dyDescent="0.25">
      <c r="A2027" t="str">
        <f>"51.2209"</f>
        <v>51.2209</v>
      </c>
      <c r="B2027" t="s">
        <v>1924</v>
      </c>
      <c r="C2027" t="s">
        <v>7</v>
      </c>
      <c r="D2027" t="s">
        <v>11</v>
      </c>
      <c r="E2027" t="str">
        <f>"51.2209"</f>
        <v>51.2209</v>
      </c>
      <c r="F2027" t="s">
        <v>1924</v>
      </c>
    </row>
    <row r="2028" spans="1:6" x14ac:dyDescent="0.25">
      <c r="A2028" t="str">
        <f>"51.2210"</f>
        <v>51.2210</v>
      </c>
      <c r="B2028" t="s">
        <v>1925</v>
      </c>
      <c r="C2028" t="s">
        <v>7</v>
      </c>
      <c r="D2028" t="s">
        <v>11</v>
      </c>
      <c r="E2028" t="str">
        <f>"51.2210"</f>
        <v>51.2210</v>
      </c>
      <c r="F2028" t="s">
        <v>1925</v>
      </c>
    </row>
    <row r="2029" spans="1:6" x14ac:dyDescent="0.25">
      <c r="A2029" t="str">
        <f>"51.2211"</f>
        <v>51.2211</v>
      </c>
      <c r="B2029" t="s">
        <v>1926</v>
      </c>
      <c r="C2029" t="s">
        <v>7</v>
      </c>
      <c r="D2029" t="s">
        <v>11</v>
      </c>
      <c r="E2029" t="str">
        <f>"51.2211"</f>
        <v>51.2211</v>
      </c>
      <c r="F2029" t="s">
        <v>1926</v>
      </c>
    </row>
    <row r="2030" spans="1:6" x14ac:dyDescent="0.25">
      <c r="A2030" t="str">
        <f>"51.2212"</f>
        <v>51.2212</v>
      </c>
      <c r="B2030" t="s">
        <v>1927</v>
      </c>
      <c r="C2030" t="s">
        <v>7</v>
      </c>
      <c r="D2030" t="s">
        <v>11</v>
      </c>
      <c r="E2030" t="str">
        <f>"51.2212"</f>
        <v>51.2212</v>
      </c>
      <c r="F2030" t="s">
        <v>1927</v>
      </c>
    </row>
    <row r="2031" spans="1:6" x14ac:dyDescent="0.25">
      <c r="C2031" t="s">
        <v>26</v>
      </c>
      <c r="D2031" t="s">
        <v>11</v>
      </c>
      <c r="E2031" t="str">
        <f>"51.2213"</f>
        <v>51.2213</v>
      </c>
      <c r="F2031" t="s">
        <v>1928</v>
      </c>
    </row>
    <row r="2032" spans="1:6" x14ac:dyDescent="0.25">
      <c r="C2032" t="s">
        <v>26</v>
      </c>
      <c r="D2032" t="s">
        <v>11</v>
      </c>
      <c r="E2032" t="str">
        <f>"51.2214"</f>
        <v>51.2214</v>
      </c>
      <c r="F2032" t="s">
        <v>1929</v>
      </c>
    </row>
    <row r="2033" spans="1:6" x14ac:dyDescent="0.25">
      <c r="C2033" t="s">
        <v>26</v>
      </c>
      <c r="D2033" t="s">
        <v>11</v>
      </c>
      <c r="E2033" t="str">
        <f>"51.2280"</f>
        <v>51.2280</v>
      </c>
      <c r="F2033" t="s">
        <v>42</v>
      </c>
    </row>
    <row r="2034" spans="1:6" x14ac:dyDescent="0.25">
      <c r="A2034" t="str">
        <f>"51.2299"</f>
        <v>51.2299</v>
      </c>
      <c r="B2034" t="s">
        <v>1930</v>
      </c>
      <c r="C2034" t="s">
        <v>7</v>
      </c>
      <c r="D2034" t="s">
        <v>11</v>
      </c>
      <c r="E2034" t="str">
        <f>"51.2299"</f>
        <v>51.2299</v>
      </c>
      <c r="F2034" t="s">
        <v>1930</v>
      </c>
    </row>
    <row r="2035" spans="1:6" x14ac:dyDescent="0.25">
      <c r="A2035" t="str">
        <f>"51.23"</f>
        <v>51.23</v>
      </c>
      <c r="B2035" t="s">
        <v>1931</v>
      </c>
      <c r="C2035" t="s">
        <v>7</v>
      </c>
      <c r="D2035" t="s">
        <v>11</v>
      </c>
      <c r="E2035" t="str">
        <f>"51.23"</f>
        <v>51.23</v>
      </c>
      <c r="F2035" t="s">
        <v>1931</v>
      </c>
    </row>
    <row r="2036" spans="1:6" x14ac:dyDescent="0.25">
      <c r="C2036" t="s">
        <v>26</v>
      </c>
      <c r="D2036" t="s">
        <v>11</v>
      </c>
      <c r="E2036" t="str">
        <f>"51.2300"</f>
        <v>51.2300</v>
      </c>
      <c r="F2036" t="s">
        <v>1932</v>
      </c>
    </row>
    <row r="2037" spans="1:6" x14ac:dyDescent="0.25">
      <c r="A2037" t="str">
        <f>"51.2301"</f>
        <v>51.2301</v>
      </c>
      <c r="B2037" t="s">
        <v>1933</v>
      </c>
      <c r="C2037" t="s">
        <v>7</v>
      </c>
      <c r="D2037" t="s">
        <v>11</v>
      </c>
      <c r="E2037" t="str">
        <f>"51.2301"</f>
        <v>51.2301</v>
      </c>
      <c r="F2037" t="s">
        <v>1933</v>
      </c>
    </row>
    <row r="2038" spans="1:6" x14ac:dyDescent="0.25">
      <c r="A2038" t="str">
        <f>"51.2302"</f>
        <v>51.2302</v>
      </c>
      <c r="B2038" t="s">
        <v>1934</v>
      </c>
      <c r="C2038" t="s">
        <v>7</v>
      </c>
      <c r="D2038" t="s">
        <v>11</v>
      </c>
      <c r="E2038" t="str">
        <f>"51.2302"</f>
        <v>51.2302</v>
      </c>
      <c r="F2038" t="s">
        <v>1934</v>
      </c>
    </row>
    <row r="2039" spans="1:6" x14ac:dyDescent="0.25">
      <c r="A2039" t="str">
        <f>"51.2305"</f>
        <v>51.2305</v>
      </c>
      <c r="B2039" t="s">
        <v>1935</v>
      </c>
      <c r="C2039" t="s">
        <v>7</v>
      </c>
      <c r="D2039" t="s">
        <v>8</v>
      </c>
      <c r="E2039" t="str">
        <f>"51.2305"</f>
        <v>51.2305</v>
      </c>
      <c r="F2039" t="s">
        <v>1935</v>
      </c>
    </row>
    <row r="2040" spans="1:6" x14ac:dyDescent="0.25">
      <c r="A2040" t="str">
        <f>"51.2306"</f>
        <v>51.2306</v>
      </c>
      <c r="B2040" t="s">
        <v>1936</v>
      </c>
      <c r="C2040" t="s">
        <v>7</v>
      </c>
      <c r="D2040" t="s">
        <v>11</v>
      </c>
      <c r="E2040" t="str">
        <f>"51.2306"</f>
        <v>51.2306</v>
      </c>
      <c r="F2040" t="s">
        <v>1936</v>
      </c>
    </row>
    <row r="2041" spans="1:6" x14ac:dyDescent="0.25">
      <c r="A2041" t="str">
        <f>"51.2307"</f>
        <v>51.2307</v>
      </c>
      <c r="B2041" t="s">
        <v>1937</v>
      </c>
      <c r="C2041" t="s">
        <v>7</v>
      </c>
      <c r="D2041" t="s">
        <v>11</v>
      </c>
      <c r="E2041" t="str">
        <f>"51.2307"</f>
        <v>51.2307</v>
      </c>
      <c r="F2041" t="s">
        <v>1937</v>
      </c>
    </row>
    <row r="2042" spans="1:6" x14ac:dyDescent="0.25">
      <c r="A2042" t="str">
        <f>"51.2308"</f>
        <v>51.2308</v>
      </c>
      <c r="B2042" t="s">
        <v>1938</v>
      </c>
      <c r="C2042" t="s">
        <v>7</v>
      </c>
      <c r="D2042" t="s">
        <v>8</v>
      </c>
      <c r="E2042" t="str">
        <f>"51.2308"</f>
        <v>51.2308</v>
      </c>
      <c r="F2042" t="s">
        <v>1938</v>
      </c>
    </row>
    <row r="2043" spans="1:6" x14ac:dyDescent="0.25">
      <c r="A2043" t="str">
        <f>"51.2309"</f>
        <v>51.2309</v>
      </c>
      <c r="B2043" t="s">
        <v>1939</v>
      </c>
      <c r="C2043" t="s">
        <v>7</v>
      </c>
      <c r="D2043" t="s">
        <v>11</v>
      </c>
      <c r="E2043" t="str">
        <f>"51.2309"</f>
        <v>51.2309</v>
      </c>
      <c r="F2043" t="s">
        <v>1939</v>
      </c>
    </row>
    <row r="2044" spans="1:6" x14ac:dyDescent="0.25">
      <c r="A2044" t="str">
        <f>"51.2310"</f>
        <v>51.2310</v>
      </c>
      <c r="B2044" t="s">
        <v>1940</v>
      </c>
      <c r="C2044" t="s">
        <v>7</v>
      </c>
      <c r="D2044" t="s">
        <v>11</v>
      </c>
      <c r="E2044" t="str">
        <f>"51.2310"</f>
        <v>51.2310</v>
      </c>
      <c r="F2044" t="s">
        <v>1940</v>
      </c>
    </row>
    <row r="2045" spans="1:6" x14ac:dyDescent="0.25">
      <c r="A2045" t="str">
        <f>"51.2311"</f>
        <v>51.2311</v>
      </c>
      <c r="B2045" t="s">
        <v>1941</v>
      </c>
      <c r="C2045" t="s">
        <v>7</v>
      </c>
      <c r="D2045" t="s">
        <v>11</v>
      </c>
      <c r="E2045" t="str">
        <f>"51.2311"</f>
        <v>51.2311</v>
      </c>
      <c r="F2045" t="s">
        <v>1941</v>
      </c>
    </row>
    <row r="2046" spans="1:6" x14ac:dyDescent="0.25">
      <c r="A2046" t="str">
        <f>"51.2312"</f>
        <v>51.2312</v>
      </c>
      <c r="B2046" t="s">
        <v>1942</v>
      </c>
      <c r="C2046" t="s">
        <v>7</v>
      </c>
      <c r="D2046" t="s">
        <v>11</v>
      </c>
      <c r="E2046" t="str">
        <f>"51.2312"</f>
        <v>51.2312</v>
      </c>
      <c r="F2046" t="s">
        <v>1942</v>
      </c>
    </row>
    <row r="2047" spans="1:6" x14ac:dyDescent="0.25">
      <c r="A2047" t="str">
        <f>"51.2313"</f>
        <v>51.2313</v>
      </c>
      <c r="B2047" t="s">
        <v>1943</v>
      </c>
      <c r="C2047" t="s">
        <v>7</v>
      </c>
      <c r="D2047" t="s">
        <v>11</v>
      </c>
      <c r="E2047" t="str">
        <f>"51.2313"</f>
        <v>51.2313</v>
      </c>
      <c r="F2047" t="s">
        <v>1943</v>
      </c>
    </row>
    <row r="2048" spans="1:6" x14ac:dyDescent="0.25">
      <c r="A2048" t="str">
        <f>"51.2314"</f>
        <v>51.2314</v>
      </c>
      <c r="B2048" t="s">
        <v>1944</v>
      </c>
      <c r="C2048" t="s">
        <v>7</v>
      </c>
      <c r="D2048" t="s">
        <v>11</v>
      </c>
      <c r="E2048" t="str">
        <f>"51.2314"</f>
        <v>51.2314</v>
      </c>
      <c r="F2048" t="s">
        <v>1944</v>
      </c>
    </row>
    <row r="2049" spans="1:6" x14ac:dyDescent="0.25">
      <c r="C2049" t="s">
        <v>26</v>
      </c>
      <c r="D2049" t="s">
        <v>11</v>
      </c>
      <c r="E2049" t="str">
        <f>"51.2315"</f>
        <v>51.2315</v>
      </c>
      <c r="F2049" t="s">
        <v>1945</v>
      </c>
    </row>
    <row r="2050" spans="1:6" x14ac:dyDescent="0.25">
      <c r="C2050" t="s">
        <v>26</v>
      </c>
      <c r="D2050" t="s">
        <v>11</v>
      </c>
      <c r="E2050" t="str">
        <f>"51.2316"</f>
        <v>51.2316</v>
      </c>
      <c r="F2050" t="s">
        <v>1946</v>
      </c>
    </row>
    <row r="2051" spans="1:6" x14ac:dyDescent="0.25">
      <c r="C2051" t="s">
        <v>26</v>
      </c>
      <c r="D2051" t="s">
        <v>11</v>
      </c>
      <c r="E2051" t="str">
        <f>"51.2317"</f>
        <v>51.2317</v>
      </c>
      <c r="F2051" t="s">
        <v>1947</v>
      </c>
    </row>
    <row r="2052" spans="1:6" x14ac:dyDescent="0.25">
      <c r="A2052" t="str">
        <f>"51.2399"</f>
        <v>51.2399</v>
      </c>
      <c r="B2052" t="s">
        <v>1948</v>
      </c>
      <c r="C2052" t="s">
        <v>7</v>
      </c>
      <c r="D2052" t="s">
        <v>11</v>
      </c>
      <c r="E2052" t="str">
        <f>"51.2399"</f>
        <v>51.2399</v>
      </c>
      <c r="F2052" t="s">
        <v>1948</v>
      </c>
    </row>
    <row r="2053" spans="1:6" x14ac:dyDescent="0.25">
      <c r="A2053" t="str">
        <f>"51.24"</f>
        <v>51.24</v>
      </c>
      <c r="B2053" t="s">
        <v>1949</v>
      </c>
      <c r="C2053" t="s">
        <v>38</v>
      </c>
      <c r="D2053" t="s">
        <v>11</v>
      </c>
      <c r="E2053" t="str">
        <f>"01.80"</f>
        <v>01.80</v>
      </c>
      <c r="F2053" t="s">
        <v>1949</v>
      </c>
    </row>
    <row r="2054" spans="1:6" x14ac:dyDescent="0.25">
      <c r="A2054" t="str">
        <f>"51.2401"</f>
        <v>51.2401</v>
      </c>
      <c r="B2054" t="s">
        <v>1949</v>
      </c>
      <c r="C2054" t="s">
        <v>38</v>
      </c>
      <c r="D2054" t="s">
        <v>11</v>
      </c>
      <c r="E2054" t="str">
        <f>"01.8001"</f>
        <v>01.8001</v>
      </c>
      <c r="F2054" t="s">
        <v>1949</v>
      </c>
    </row>
    <row r="2055" spans="1:6" x14ac:dyDescent="0.25">
      <c r="A2055" t="str">
        <f>"51.25"</f>
        <v>51.25</v>
      </c>
      <c r="B2055" t="s">
        <v>1950</v>
      </c>
      <c r="C2055" t="s">
        <v>38</v>
      </c>
      <c r="D2055" t="s">
        <v>11</v>
      </c>
      <c r="E2055" t="str">
        <f>"01.81"</f>
        <v>01.81</v>
      </c>
      <c r="F2055" t="s">
        <v>1950</v>
      </c>
    </row>
    <row r="2056" spans="1:6" x14ac:dyDescent="0.25">
      <c r="A2056" t="str">
        <f>"51.2501"</f>
        <v>51.2501</v>
      </c>
      <c r="B2056" t="s">
        <v>1951</v>
      </c>
      <c r="C2056" t="s">
        <v>38</v>
      </c>
      <c r="D2056" t="s">
        <v>11</v>
      </c>
      <c r="E2056" t="str">
        <f>"01.8101"</f>
        <v>01.8101</v>
      </c>
      <c r="F2056" t="s">
        <v>1951</v>
      </c>
    </row>
    <row r="2057" spans="1:6" x14ac:dyDescent="0.25">
      <c r="A2057" t="str">
        <f>"51.2502"</f>
        <v>51.2502</v>
      </c>
      <c r="B2057" t="s">
        <v>1952</v>
      </c>
      <c r="C2057" t="s">
        <v>38</v>
      </c>
      <c r="D2057" t="s">
        <v>11</v>
      </c>
      <c r="E2057" t="str">
        <f>"01.8105"</f>
        <v>01.8105</v>
      </c>
      <c r="F2057" t="s">
        <v>1952</v>
      </c>
    </row>
    <row r="2058" spans="1:6" x14ac:dyDescent="0.25">
      <c r="A2058" t="str">
        <f>"51.2503"</f>
        <v>51.2503</v>
      </c>
      <c r="B2058" t="s">
        <v>1953</v>
      </c>
      <c r="C2058" t="s">
        <v>38</v>
      </c>
      <c r="D2058" t="s">
        <v>11</v>
      </c>
      <c r="E2058" t="str">
        <f>"01.8109"</f>
        <v>01.8109</v>
      </c>
      <c r="F2058" t="s">
        <v>1953</v>
      </c>
    </row>
    <row r="2059" spans="1:6" x14ac:dyDescent="0.25">
      <c r="A2059" t="str">
        <f>"51.2504"</f>
        <v>51.2504</v>
      </c>
      <c r="B2059" t="s">
        <v>1954</v>
      </c>
      <c r="C2059" t="s">
        <v>38</v>
      </c>
      <c r="D2059" t="s">
        <v>11</v>
      </c>
      <c r="E2059" t="str">
        <f>"01.8107"</f>
        <v>01.8107</v>
      </c>
      <c r="F2059" t="s">
        <v>1954</v>
      </c>
    </row>
    <row r="2060" spans="1:6" x14ac:dyDescent="0.25">
      <c r="A2060" t="str">
        <f>"51.2505"</f>
        <v>51.2505</v>
      </c>
      <c r="B2060" t="s">
        <v>1955</v>
      </c>
      <c r="C2060" t="s">
        <v>38</v>
      </c>
      <c r="D2060" t="s">
        <v>11</v>
      </c>
      <c r="E2060" t="str">
        <f>"01.8108"</f>
        <v>01.8108</v>
      </c>
      <c r="F2060" t="s">
        <v>1955</v>
      </c>
    </row>
    <row r="2061" spans="1:6" x14ac:dyDescent="0.25">
      <c r="A2061" t="str">
        <f>"51.2506"</f>
        <v>51.2506</v>
      </c>
      <c r="B2061" t="s">
        <v>1956</v>
      </c>
      <c r="C2061" t="s">
        <v>38</v>
      </c>
      <c r="D2061" t="s">
        <v>11</v>
      </c>
      <c r="E2061" t="str">
        <f>"01.8111"</f>
        <v>01.8111</v>
      </c>
      <c r="F2061" t="s">
        <v>1956</v>
      </c>
    </row>
    <row r="2062" spans="1:6" x14ac:dyDescent="0.25">
      <c r="A2062" t="str">
        <f>"51.2507"</f>
        <v>51.2507</v>
      </c>
      <c r="B2062" t="s">
        <v>1957</v>
      </c>
      <c r="C2062" t="s">
        <v>38</v>
      </c>
      <c r="D2062" t="s">
        <v>11</v>
      </c>
      <c r="E2062" t="str">
        <f>"01.8103"</f>
        <v>01.8103</v>
      </c>
      <c r="F2062" t="s">
        <v>1957</v>
      </c>
    </row>
    <row r="2063" spans="1:6" x14ac:dyDescent="0.25">
      <c r="A2063" t="str">
        <f>"51.2508"</f>
        <v>51.2508</v>
      </c>
      <c r="B2063" t="s">
        <v>1958</v>
      </c>
      <c r="C2063" t="s">
        <v>38</v>
      </c>
      <c r="D2063" t="s">
        <v>11</v>
      </c>
      <c r="E2063" t="str">
        <f>"01.8104"</f>
        <v>01.8104</v>
      </c>
      <c r="F2063" t="s">
        <v>1958</v>
      </c>
    </row>
    <row r="2064" spans="1:6" x14ac:dyDescent="0.25">
      <c r="A2064" t="str">
        <f>"51.2509"</f>
        <v>51.2509</v>
      </c>
      <c r="B2064" t="s">
        <v>1959</v>
      </c>
      <c r="C2064" t="s">
        <v>38</v>
      </c>
      <c r="D2064" t="s">
        <v>11</v>
      </c>
      <c r="E2064" t="str">
        <f>"01.8102"</f>
        <v>01.8102</v>
      </c>
      <c r="F2064" t="s">
        <v>1959</v>
      </c>
    </row>
    <row r="2065" spans="1:6" x14ac:dyDescent="0.25">
      <c r="A2065" t="str">
        <f>"51.2510"</f>
        <v>51.2510</v>
      </c>
      <c r="B2065" t="s">
        <v>1960</v>
      </c>
      <c r="C2065" t="s">
        <v>38</v>
      </c>
      <c r="D2065" t="s">
        <v>11</v>
      </c>
      <c r="E2065" t="str">
        <f>"01.8110"</f>
        <v>01.8110</v>
      </c>
      <c r="F2065" t="s">
        <v>1960</v>
      </c>
    </row>
    <row r="2066" spans="1:6" x14ac:dyDescent="0.25">
      <c r="A2066" t="str">
        <f>"51.2511"</f>
        <v>51.2511</v>
      </c>
      <c r="B2066" t="s">
        <v>1961</v>
      </c>
      <c r="C2066" t="s">
        <v>38</v>
      </c>
      <c r="D2066" t="s">
        <v>11</v>
      </c>
      <c r="E2066" t="str">
        <f>"01.8106"</f>
        <v>01.8106</v>
      </c>
      <c r="F2066" t="s">
        <v>1961</v>
      </c>
    </row>
    <row r="2067" spans="1:6" x14ac:dyDescent="0.25">
      <c r="A2067" t="str">
        <f>"51.2599"</f>
        <v>51.2599</v>
      </c>
      <c r="B2067" t="s">
        <v>1962</v>
      </c>
      <c r="C2067" t="s">
        <v>38</v>
      </c>
      <c r="D2067" t="s">
        <v>11</v>
      </c>
      <c r="E2067" t="str">
        <f>"01.8199"</f>
        <v>01.8199</v>
      </c>
      <c r="F2067" t="s">
        <v>1962</v>
      </c>
    </row>
    <row r="2068" spans="1:6" x14ac:dyDescent="0.25">
      <c r="A2068" t="str">
        <f>"51.26"</f>
        <v>51.26</v>
      </c>
      <c r="B2068" t="s">
        <v>1963</v>
      </c>
      <c r="C2068" t="s">
        <v>7</v>
      </c>
      <c r="D2068" t="s">
        <v>11</v>
      </c>
      <c r="E2068" t="str">
        <f>"51.26"</f>
        <v>51.26</v>
      </c>
      <c r="F2068" t="s">
        <v>1963</v>
      </c>
    </row>
    <row r="2069" spans="1:6" x14ac:dyDescent="0.25">
      <c r="A2069" t="str">
        <f>"51.2601"</f>
        <v>51.2601</v>
      </c>
      <c r="B2069" t="s">
        <v>1964</v>
      </c>
      <c r="C2069" t="s">
        <v>7</v>
      </c>
      <c r="D2069" t="s">
        <v>11</v>
      </c>
      <c r="E2069" t="str">
        <f>"51.2601"</f>
        <v>51.2601</v>
      </c>
      <c r="F2069" t="s">
        <v>1964</v>
      </c>
    </row>
    <row r="2070" spans="1:6" x14ac:dyDescent="0.25">
      <c r="A2070" t="str">
        <f>"51.2602"</f>
        <v>51.2602</v>
      </c>
      <c r="B2070" t="s">
        <v>1965</v>
      </c>
      <c r="C2070" t="s">
        <v>7</v>
      </c>
      <c r="D2070" t="s">
        <v>11</v>
      </c>
      <c r="E2070" t="str">
        <f>"51.2602"</f>
        <v>51.2602</v>
      </c>
      <c r="F2070" t="s">
        <v>1965</v>
      </c>
    </row>
    <row r="2071" spans="1:6" x14ac:dyDescent="0.25">
      <c r="A2071" t="str">
        <f>"51.2603"</f>
        <v>51.2603</v>
      </c>
      <c r="B2071" t="s">
        <v>1966</v>
      </c>
      <c r="C2071" t="s">
        <v>7</v>
      </c>
      <c r="D2071" t="s">
        <v>11</v>
      </c>
      <c r="E2071" t="str">
        <f>"51.2603"</f>
        <v>51.2603</v>
      </c>
      <c r="F2071" t="s">
        <v>1966</v>
      </c>
    </row>
    <row r="2072" spans="1:6" x14ac:dyDescent="0.25">
      <c r="A2072" t="str">
        <f>"51.2604"</f>
        <v>51.2604</v>
      </c>
      <c r="B2072" t="s">
        <v>1967</v>
      </c>
      <c r="C2072" t="s">
        <v>7</v>
      </c>
      <c r="D2072" t="s">
        <v>8</v>
      </c>
      <c r="E2072" t="str">
        <f>"51.2604"</f>
        <v>51.2604</v>
      </c>
      <c r="F2072" t="s">
        <v>1967</v>
      </c>
    </row>
    <row r="2073" spans="1:6" x14ac:dyDescent="0.25">
      <c r="C2073" t="s">
        <v>26</v>
      </c>
      <c r="D2073" t="s">
        <v>11</v>
      </c>
      <c r="E2073" t="str">
        <f>"51.2605"</f>
        <v>51.2605</v>
      </c>
      <c r="F2073" t="s">
        <v>1968</v>
      </c>
    </row>
    <row r="2074" spans="1:6" x14ac:dyDescent="0.25">
      <c r="A2074" t="str">
        <f>"51.2699"</f>
        <v>51.2699</v>
      </c>
      <c r="B2074" t="s">
        <v>1969</v>
      </c>
      <c r="C2074" t="s">
        <v>7</v>
      </c>
      <c r="D2074" t="s">
        <v>11</v>
      </c>
      <c r="E2074" t="str">
        <f>"51.2699"</f>
        <v>51.2699</v>
      </c>
      <c r="F2074" t="s">
        <v>1969</v>
      </c>
    </row>
    <row r="2075" spans="1:6" x14ac:dyDescent="0.25">
      <c r="A2075" t="str">
        <f>"51.27"</f>
        <v>51.27</v>
      </c>
      <c r="B2075" t="s">
        <v>1970</v>
      </c>
      <c r="C2075" t="s">
        <v>7</v>
      </c>
      <c r="D2075" t="s">
        <v>11</v>
      </c>
      <c r="E2075" t="str">
        <f>"51.27"</f>
        <v>51.27</v>
      </c>
      <c r="F2075" t="s">
        <v>1970</v>
      </c>
    </row>
    <row r="2076" spans="1:6" x14ac:dyDescent="0.25">
      <c r="A2076" t="str">
        <f>"51.2703"</f>
        <v>51.2703</v>
      </c>
      <c r="B2076" t="s">
        <v>1971</v>
      </c>
      <c r="C2076" t="s">
        <v>7</v>
      </c>
      <c r="D2076" t="s">
        <v>11</v>
      </c>
      <c r="E2076" t="str">
        <f>"51.2703"</f>
        <v>51.2703</v>
      </c>
      <c r="F2076" t="s">
        <v>1971</v>
      </c>
    </row>
    <row r="2077" spans="1:6" x14ac:dyDescent="0.25">
      <c r="A2077" t="str">
        <f>"51.2706"</f>
        <v>51.2706</v>
      </c>
      <c r="B2077" t="s">
        <v>1972</v>
      </c>
      <c r="C2077" t="s">
        <v>7</v>
      </c>
      <c r="D2077" t="s">
        <v>11</v>
      </c>
      <c r="E2077" t="str">
        <f>"51.2706"</f>
        <v>51.2706</v>
      </c>
      <c r="F2077" t="s">
        <v>1972</v>
      </c>
    </row>
    <row r="2078" spans="1:6" x14ac:dyDescent="0.25">
      <c r="A2078" t="str">
        <f>"51.2799"</f>
        <v>51.2799</v>
      </c>
      <c r="B2078" t="s">
        <v>1973</v>
      </c>
      <c r="C2078" t="s">
        <v>7</v>
      </c>
      <c r="D2078" t="s">
        <v>11</v>
      </c>
      <c r="E2078" t="str">
        <f>"51.2799"</f>
        <v>51.2799</v>
      </c>
      <c r="F2078" t="s">
        <v>1973</v>
      </c>
    </row>
    <row r="2079" spans="1:6" x14ac:dyDescent="0.25">
      <c r="A2079" t="str">
        <f>"51.31"</f>
        <v>51.31</v>
      </c>
      <c r="B2079" t="s">
        <v>1974</v>
      </c>
      <c r="C2079" t="s">
        <v>7</v>
      </c>
      <c r="D2079" t="s">
        <v>11</v>
      </c>
      <c r="E2079" t="str">
        <f>"51.31"</f>
        <v>51.31</v>
      </c>
      <c r="F2079" t="s">
        <v>1974</v>
      </c>
    </row>
    <row r="2080" spans="1:6" x14ac:dyDescent="0.25">
      <c r="A2080" t="str">
        <f>"51.3101"</f>
        <v>51.3101</v>
      </c>
      <c r="B2080" t="s">
        <v>1975</v>
      </c>
      <c r="C2080" t="s">
        <v>7</v>
      </c>
      <c r="D2080" t="s">
        <v>11</v>
      </c>
      <c r="E2080" t="str">
        <f>"51.3101"</f>
        <v>51.3101</v>
      </c>
      <c r="F2080" t="s">
        <v>1975</v>
      </c>
    </row>
    <row r="2081" spans="1:6" x14ac:dyDescent="0.25">
      <c r="A2081" t="str">
        <f>"51.3102"</f>
        <v>51.3102</v>
      </c>
      <c r="B2081" t="s">
        <v>1976</v>
      </c>
      <c r="C2081" t="s">
        <v>7</v>
      </c>
      <c r="D2081" t="s">
        <v>11</v>
      </c>
      <c r="E2081" t="str">
        <f>"51.3102"</f>
        <v>51.3102</v>
      </c>
      <c r="F2081" t="s">
        <v>1976</v>
      </c>
    </row>
    <row r="2082" spans="1:6" x14ac:dyDescent="0.25">
      <c r="A2082" t="str">
        <f>"51.3103"</f>
        <v>51.3103</v>
      </c>
      <c r="B2082" t="s">
        <v>1977</v>
      </c>
      <c r="C2082" t="s">
        <v>7</v>
      </c>
      <c r="D2082" t="s">
        <v>11</v>
      </c>
      <c r="E2082" t="str">
        <f>"51.3103"</f>
        <v>51.3103</v>
      </c>
      <c r="F2082" t="s">
        <v>1977</v>
      </c>
    </row>
    <row r="2083" spans="1:6" x14ac:dyDescent="0.25">
      <c r="A2083" t="str">
        <f>"51.3104"</f>
        <v>51.3104</v>
      </c>
      <c r="B2083" t="s">
        <v>1978</v>
      </c>
      <c r="C2083" t="s">
        <v>7</v>
      </c>
      <c r="D2083" t="s">
        <v>11</v>
      </c>
      <c r="E2083" t="str">
        <f>"51.3104"</f>
        <v>51.3104</v>
      </c>
      <c r="F2083" t="s">
        <v>1978</v>
      </c>
    </row>
    <row r="2084" spans="1:6" x14ac:dyDescent="0.25">
      <c r="A2084" t="str">
        <f>"51.3199"</f>
        <v>51.3199</v>
      </c>
      <c r="B2084" t="s">
        <v>1979</v>
      </c>
      <c r="C2084" t="s">
        <v>7</v>
      </c>
      <c r="D2084" t="s">
        <v>11</v>
      </c>
      <c r="E2084" t="str">
        <f>"51.3199"</f>
        <v>51.3199</v>
      </c>
      <c r="F2084" t="s">
        <v>1979</v>
      </c>
    </row>
    <row r="2085" spans="1:6" x14ac:dyDescent="0.25">
      <c r="A2085" t="str">
        <f>"51.32"</f>
        <v>51.32</v>
      </c>
      <c r="B2085" t="s">
        <v>1980</v>
      </c>
      <c r="C2085" t="s">
        <v>7</v>
      </c>
      <c r="D2085" t="s">
        <v>8</v>
      </c>
      <c r="E2085" t="str">
        <f>"51.32"</f>
        <v>51.32</v>
      </c>
      <c r="F2085" t="s">
        <v>1981</v>
      </c>
    </row>
    <row r="2086" spans="1:6" x14ac:dyDescent="0.25">
      <c r="A2086" t="str">
        <f>"51.3201"</f>
        <v>51.3201</v>
      </c>
      <c r="B2086" t="s">
        <v>1980</v>
      </c>
      <c r="C2086" t="s">
        <v>7</v>
      </c>
      <c r="D2086" t="s">
        <v>11</v>
      </c>
      <c r="E2086" t="str">
        <f>"51.3201"</f>
        <v>51.3201</v>
      </c>
      <c r="F2086" t="s">
        <v>1980</v>
      </c>
    </row>
    <row r="2087" spans="1:6" x14ac:dyDescent="0.25">
      <c r="C2087" t="s">
        <v>26</v>
      </c>
      <c r="D2087" t="s">
        <v>11</v>
      </c>
      <c r="E2087" t="str">
        <f>"51.3202"</f>
        <v>51.3202</v>
      </c>
      <c r="F2087" t="s">
        <v>1982</v>
      </c>
    </row>
    <row r="2088" spans="1:6" x14ac:dyDescent="0.25">
      <c r="C2088" t="s">
        <v>26</v>
      </c>
      <c r="D2088" t="s">
        <v>11</v>
      </c>
      <c r="E2088" t="str">
        <f>"51.3204"</f>
        <v>51.3204</v>
      </c>
      <c r="F2088" t="s">
        <v>1983</v>
      </c>
    </row>
    <row r="2089" spans="1:6" x14ac:dyDescent="0.25">
      <c r="C2089" t="s">
        <v>26</v>
      </c>
      <c r="D2089" t="s">
        <v>11</v>
      </c>
      <c r="E2089" t="str">
        <f>"51.3205"</f>
        <v>51.3205</v>
      </c>
      <c r="F2089" t="s">
        <v>1984</v>
      </c>
    </row>
    <row r="2090" spans="1:6" x14ac:dyDescent="0.25">
      <c r="C2090" t="s">
        <v>26</v>
      </c>
      <c r="D2090" t="s">
        <v>11</v>
      </c>
      <c r="E2090" t="str">
        <f>"51.3206"</f>
        <v>51.3206</v>
      </c>
      <c r="F2090" t="s">
        <v>1985</v>
      </c>
    </row>
    <row r="2091" spans="1:6" x14ac:dyDescent="0.25">
      <c r="C2091" t="s">
        <v>26</v>
      </c>
      <c r="D2091" t="s">
        <v>11</v>
      </c>
      <c r="E2091" t="str">
        <f>"51.3299"</f>
        <v>51.3299</v>
      </c>
      <c r="F2091" t="s">
        <v>1986</v>
      </c>
    </row>
    <row r="2092" spans="1:6" x14ac:dyDescent="0.25">
      <c r="A2092" t="str">
        <f>"51.33"</f>
        <v>51.33</v>
      </c>
      <c r="B2092" t="s">
        <v>1987</v>
      </c>
      <c r="C2092" t="s">
        <v>7</v>
      </c>
      <c r="D2092" t="s">
        <v>11</v>
      </c>
      <c r="E2092" t="str">
        <f>"51.33"</f>
        <v>51.33</v>
      </c>
      <c r="F2092" t="s">
        <v>1987</v>
      </c>
    </row>
    <row r="2093" spans="1:6" x14ac:dyDescent="0.25">
      <c r="A2093" t="str">
        <f>"51.3300"</f>
        <v>51.3300</v>
      </c>
      <c r="B2093" t="s">
        <v>1988</v>
      </c>
      <c r="C2093" t="s">
        <v>7</v>
      </c>
      <c r="D2093" t="s">
        <v>11</v>
      </c>
      <c r="E2093" t="str">
        <f>"51.3300"</f>
        <v>51.3300</v>
      </c>
      <c r="F2093" t="s">
        <v>1988</v>
      </c>
    </row>
    <row r="2094" spans="1:6" x14ac:dyDescent="0.25">
      <c r="A2094" t="str">
        <f>"51.3301"</f>
        <v>51.3301</v>
      </c>
      <c r="B2094" t="s">
        <v>1989</v>
      </c>
      <c r="C2094" t="s">
        <v>7</v>
      </c>
      <c r="D2094" t="s">
        <v>11</v>
      </c>
      <c r="E2094" t="str">
        <f>"51.3301"</f>
        <v>51.3301</v>
      </c>
      <c r="F2094" t="s">
        <v>1989</v>
      </c>
    </row>
    <row r="2095" spans="1:6" x14ac:dyDescent="0.25">
      <c r="A2095" t="str">
        <f>"51.3302"</f>
        <v>51.3302</v>
      </c>
      <c r="B2095" t="s">
        <v>1990</v>
      </c>
      <c r="C2095" t="s">
        <v>7</v>
      </c>
      <c r="D2095" t="s">
        <v>11</v>
      </c>
      <c r="E2095" t="str">
        <f>"51.3302"</f>
        <v>51.3302</v>
      </c>
      <c r="F2095" t="s">
        <v>1990</v>
      </c>
    </row>
    <row r="2096" spans="1:6" x14ac:dyDescent="0.25">
      <c r="A2096" t="str">
        <f>"51.3303"</f>
        <v>51.3303</v>
      </c>
      <c r="B2096" t="s">
        <v>1991</v>
      </c>
      <c r="C2096" t="s">
        <v>7</v>
      </c>
      <c r="D2096" t="s">
        <v>11</v>
      </c>
      <c r="E2096" t="str">
        <f>"51.3303"</f>
        <v>51.3303</v>
      </c>
      <c r="F2096" t="s">
        <v>1991</v>
      </c>
    </row>
    <row r="2097" spans="1:6" x14ac:dyDescent="0.25">
      <c r="A2097" t="str">
        <f>"51.3304"</f>
        <v>51.3304</v>
      </c>
      <c r="B2097" t="s">
        <v>1992</v>
      </c>
      <c r="C2097" t="s">
        <v>7</v>
      </c>
      <c r="D2097" t="s">
        <v>11</v>
      </c>
      <c r="E2097" t="str">
        <f>"51.3304"</f>
        <v>51.3304</v>
      </c>
      <c r="F2097" t="s">
        <v>1992</v>
      </c>
    </row>
    <row r="2098" spans="1:6" x14ac:dyDescent="0.25">
      <c r="A2098" t="str">
        <f>"51.3305"</f>
        <v>51.3305</v>
      </c>
      <c r="B2098" t="s">
        <v>1993</v>
      </c>
      <c r="C2098" t="s">
        <v>7</v>
      </c>
      <c r="D2098" t="s">
        <v>11</v>
      </c>
      <c r="E2098" t="str">
        <f>"51.3305"</f>
        <v>51.3305</v>
      </c>
      <c r="F2098" t="s">
        <v>1993</v>
      </c>
    </row>
    <row r="2099" spans="1:6" x14ac:dyDescent="0.25">
      <c r="A2099" t="str">
        <f>"51.3306"</f>
        <v>51.3306</v>
      </c>
      <c r="B2099" t="s">
        <v>1994</v>
      </c>
      <c r="C2099" t="s">
        <v>7</v>
      </c>
      <c r="D2099" t="s">
        <v>8</v>
      </c>
      <c r="E2099" t="str">
        <f>"51.3306"</f>
        <v>51.3306</v>
      </c>
      <c r="F2099" t="s">
        <v>1995</v>
      </c>
    </row>
    <row r="2100" spans="1:6" x14ac:dyDescent="0.25">
      <c r="A2100" t="str">
        <f>"51.3399"</f>
        <v>51.3399</v>
      </c>
      <c r="B2100" t="s">
        <v>1996</v>
      </c>
      <c r="C2100" t="s">
        <v>7</v>
      </c>
      <c r="D2100" t="s">
        <v>11</v>
      </c>
      <c r="E2100" t="str">
        <f>"51.3399"</f>
        <v>51.3399</v>
      </c>
      <c r="F2100" t="s">
        <v>1996</v>
      </c>
    </row>
    <row r="2101" spans="1:6" x14ac:dyDescent="0.25">
      <c r="A2101" t="str">
        <f>"51.34"</f>
        <v>51.34</v>
      </c>
      <c r="B2101" t="s">
        <v>1997</v>
      </c>
      <c r="C2101" t="s">
        <v>7</v>
      </c>
      <c r="D2101" t="s">
        <v>11</v>
      </c>
      <c r="E2101" t="str">
        <f>"51.34"</f>
        <v>51.34</v>
      </c>
      <c r="F2101" t="s">
        <v>1997</v>
      </c>
    </row>
    <row r="2102" spans="1:6" x14ac:dyDescent="0.25">
      <c r="A2102" t="str">
        <f>"51.3401"</f>
        <v>51.3401</v>
      </c>
      <c r="B2102" t="s">
        <v>1998</v>
      </c>
      <c r="C2102" t="s">
        <v>7</v>
      </c>
      <c r="D2102" t="s">
        <v>11</v>
      </c>
      <c r="E2102" t="str">
        <f>"51.3401"</f>
        <v>51.3401</v>
      </c>
      <c r="F2102" t="s">
        <v>1998</v>
      </c>
    </row>
    <row r="2103" spans="1:6" x14ac:dyDescent="0.25">
      <c r="A2103" t="str">
        <f>"51.3499"</f>
        <v>51.3499</v>
      </c>
      <c r="B2103" t="s">
        <v>1999</v>
      </c>
      <c r="C2103" t="s">
        <v>7</v>
      </c>
      <c r="D2103" t="s">
        <v>11</v>
      </c>
      <c r="E2103" t="str">
        <f>"51.3499"</f>
        <v>51.3499</v>
      </c>
      <c r="F2103" t="s">
        <v>1999</v>
      </c>
    </row>
    <row r="2104" spans="1:6" x14ac:dyDescent="0.25">
      <c r="A2104" t="str">
        <f>"51.35"</f>
        <v>51.35</v>
      </c>
      <c r="B2104" t="s">
        <v>2000</v>
      </c>
      <c r="C2104" t="s">
        <v>7</v>
      </c>
      <c r="D2104" t="s">
        <v>11</v>
      </c>
      <c r="E2104" t="str">
        <f>"51.35"</f>
        <v>51.35</v>
      </c>
      <c r="F2104" t="s">
        <v>2000</v>
      </c>
    </row>
    <row r="2105" spans="1:6" x14ac:dyDescent="0.25">
      <c r="A2105" t="str">
        <f>"51.3501"</f>
        <v>51.3501</v>
      </c>
      <c r="B2105" t="s">
        <v>2001</v>
      </c>
      <c r="C2105" t="s">
        <v>7</v>
      </c>
      <c r="D2105" t="s">
        <v>11</v>
      </c>
      <c r="E2105" t="str">
        <f>"51.3501"</f>
        <v>51.3501</v>
      </c>
      <c r="F2105" t="s">
        <v>2001</v>
      </c>
    </row>
    <row r="2106" spans="1:6" x14ac:dyDescent="0.25">
      <c r="A2106" t="str">
        <f>"51.3502"</f>
        <v>51.3502</v>
      </c>
      <c r="B2106" t="s">
        <v>2002</v>
      </c>
      <c r="C2106" t="s">
        <v>7</v>
      </c>
      <c r="D2106" t="s">
        <v>11</v>
      </c>
      <c r="E2106" t="str">
        <f>"51.3502"</f>
        <v>51.3502</v>
      </c>
      <c r="F2106" t="s">
        <v>2002</v>
      </c>
    </row>
    <row r="2107" spans="1:6" x14ac:dyDescent="0.25">
      <c r="A2107" t="str">
        <f>"51.3503"</f>
        <v>51.3503</v>
      </c>
      <c r="B2107" t="s">
        <v>2003</v>
      </c>
      <c r="C2107" t="s">
        <v>7</v>
      </c>
      <c r="D2107" t="s">
        <v>11</v>
      </c>
      <c r="E2107" t="str">
        <f>"51.3503"</f>
        <v>51.3503</v>
      </c>
      <c r="F2107" t="s">
        <v>2003</v>
      </c>
    </row>
    <row r="2108" spans="1:6" x14ac:dyDescent="0.25">
      <c r="A2108" t="str">
        <f>"51.3599"</f>
        <v>51.3599</v>
      </c>
      <c r="B2108" t="s">
        <v>2004</v>
      </c>
      <c r="C2108" t="s">
        <v>7</v>
      </c>
      <c r="D2108" t="s">
        <v>11</v>
      </c>
      <c r="E2108" t="str">
        <f>"51.3599"</f>
        <v>51.3599</v>
      </c>
      <c r="F2108" t="s">
        <v>2004</v>
      </c>
    </row>
    <row r="2109" spans="1:6" x14ac:dyDescent="0.25">
      <c r="A2109" t="str">
        <f>"51.36"</f>
        <v>51.36</v>
      </c>
      <c r="B2109" t="s">
        <v>2005</v>
      </c>
      <c r="C2109" t="s">
        <v>7</v>
      </c>
      <c r="D2109" t="s">
        <v>11</v>
      </c>
      <c r="E2109" t="str">
        <f>"51.36"</f>
        <v>51.36</v>
      </c>
      <c r="F2109" t="s">
        <v>2005</v>
      </c>
    </row>
    <row r="2110" spans="1:6" x14ac:dyDescent="0.25">
      <c r="A2110" t="str">
        <f>"51.3601"</f>
        <v>51.3601</v>
      </c>
      <c r="B2110" t="s">
        <v>2006</v>
      </c>
      <c r="C2110" t="s">
        <v>7</v>
      </c>
      <c r="D2110" t="s">
        <v>11</v>
      </c>
      <c r="E2110" t="str">
        <f>"51.3601"</f>
        <v>51.3601</v>
      </c>
      <c r="F2110" t="s">
        <v>2006</v>
      </c>
    </row>
    <row r="2111" spans="1:6" x14ac:dyDescent="0.25">
      <c r="A2111" t="str">
        <f>"51.3602"</f>
        <v>51.3602</v>
      </c>
      <c r="B2111" t="s">
        <v>2007</v>
      </c>
      <c r="C2111" t="s">
        <v>7</v>
      </c>
      <c r="D2111" t="s">
        <v>11</v>
      </c>
      <c r="E2111" t="str">
        <f>"51.3602"</f>
        <v>51.3602</v>
      </c>
      <c r="F2111" t="s">
        <v>2007</v>
      </c>
    </row>
    <row r="2112" spans="1:6" x14ac:dyDescent="0.25">
      <c r="A2112" t="str">
        <f>"51.3603"</f>
        <v>51.3603</v>
      </c>
      <c r="B2112" t="s">
        <v>2008</v>
      </c>
      <c r="C2112" t="s">
        <v>7</v>
      </c>
      <c r="D2112" t="s">
        <v>11</v>
      </c>
      <c r="E2112" t="str">
        <f>"51.3603"</f>
        <v>51.3603</v>
      </c>
      <c r="F2112" t="s">
        <v>2008</v>
      </c>
    </row>
    <row r="2113" spans="1:6" x14ac:dyDescent="0.25">
      <c r="A2113" t="str">
        <f>"51.3699"</f>
        <v>51.3699</v>
      </c>
      <c r="B2113" t="s">
        <v>2009</v>
      </c>
      <c r="C2113" t="s">
        <v>7</v>
      </c>
      <c r="D2113" t="s">
        <v>11</v>
      </c>
      <c r="E2113" t="str">
        <f>"51.3699"</f>
        <v>51.3699</v>
      </c>
      <c r="F2113" t="s">
        <v>2009</v>
      </c>
    </row>
    <row r="2114" spans="1:6" x14ac:dyDescent="0.25">
      <c r="A2114" t="str">
        <f>"51.37"</f>
        <v>51.37</v>
      </c>
      <c r="B2114" t="s">
        <v>2010</v>
      </c>
      <c r="C2114" t="s">
        <v>7</v>
      </c>
      <c r="D2114" t="s">
        <v>11</v>
      </c>
      <c r="E2114" t="str">
        <f>"51.37"</f>
        <v>51.37</v>
      </c>
      <c r="F2114" t="s">
        <v>2010</v>
      </c>
    </row>
    <row r="2115" spans="1:6" x14ac:dyDescent="0.25">
      <c r="A2115" t="str">
        <f>"51.3701"</f>
        <v>51.3701</v>
      </c>
      <c r="B2115" t="s">
        <v>2011</v>
      </c>
      <c r="C2115" t="s">
        <v>7</v>
      </c>
      <c r="D2115" t="s">
        <v>11</v>
      </c>
      <c r="E2115" t="str">
        <f>"51.3701"</f>
        <v>51.3701</v>
      </c>
      <c r="F2115" t="s">
        <v>2011</v>
      </c>
    </row>
    <row r="2116" spans="1:6" x14ac:dyDescent="0.25">
      <c r="A2116" t="str">
        <f>"51.3702"</f>
        <v>51.3702</v>
      </c>
      <c r="B2116" t="s">
        <v>2012</v>
      </c>
      <c r="C2116" t="s">
        <v>7</v>
      </c>
      <c r="D2116" t="s">
        <v>11</v>
      </c>
      <c r="E2116" t="str">
        <f>"51.3702"</f>
        <v>51.3702</v>
      </c>
      <c r="F2116" t="s">
        <v>2012</v>
      </c>
    </row>
    <row r="2117" spans="1:6" x14ac:dyDescent="0.25">
      <c r="A2117" t="str">
        <f>"51.3703"</f>
        <v>51.3703</v>
      </c>
      <c r="B2117" t="s">
        <v>2013</v>
      </c>
      <c r="C2117" t="s">
        <v>7</v>
      </c>
      <c r="D2117" t="s">
        <v>11</v>
      </c>
      <c r="E2117" t="str">
        <f>"51.3703"</f>
        <v>51.3703</v>
      </c>
      <c r="F2117" t="s">
        <v>2013</v>
      </c>
    </row>
    <row r="2118" spans="1:6" x14ac:dyDescent="0.25">
      <c r="A2118" t="str">
        <f>"51.3704"</f>
        <v>51.3704</v>
      </c>
      <c r="B2118" t="s">
        <v>2014</v>
      </c>
      <c r="C2118" t="s">
        <v>7</v>
      </c>
      <c r="D2118" t="s">
        <v>11</v>
      </c>
      <c r="E2118" t="str">
        <f>"51.3704"</f>
        <v>51.3704</v>
      </c>
      <c r="F2118" t="s">
        <v>2014</v>
      </c>
    </row>
    <row r="2119" spans="1:6" x14ac:dyDescent="0.25">
      <c r="A2119" t="str">
        <f>"51.3799"</f>
        <v>51.3799</v>
      </c>
      <c r="B2119" t="s">
        <v>2015</v>
      </c>
      <c r="C2119" t="s">
        <v>7</v>
      </c>
      <c r="D2119" t="s">
        <v>11</v>
      </c>
      <c r="E2119" t="str">
        <f>"51.3799"</f>
        <v>51.3799</v>
      </c>
      <c r="F2119" t="s">
        <v>2015</v>
      </c>
    </row>
    <row r="2120" spans="1:6" x14ac:dyDescent="0.25">
      <c r="A2120" t="str">
        <f>"51.38"</f>
        <v>51.38</v>
      </c>
      <c r="B2120" t="s">
        <v>2016</v>
      </c>
      <c r="C2120" t="s">
        <v>7</v>
      </c>
      <c r="D2120" t="s">
        <v>11</v>
      </c>
      <c r="E2120" t="str">
        <f>"51.38"</f>
        <v>51.38</v>
      </c>
      <c r="F2120" t="s">
        <v>2016</v>
      </c>
    </row>
    <row r="2121" spans="1:6" x14ac:dyDescent="0.25">
      <c r="A2121" t="str">
        <f>"51.3801"</f>
        <v>51.3801</v>
      </c>
      <c r="B2121" t="s">
        <v>2017</v>
      </c>
      <c r="C2121" t="s">
        <v>7</v>
      </c>
      <c r="D2121" t="s">
        <v>11</v>
      </c>
      <c r="E2121" t="str">
        <f>"51.3801"</f>
        <v>51.3801</v>
      </c>
      <c r="F2121" t="s">
        <v>2017</v>
      </c>
    </row>
    <row r="2122" spans="1:6" x14ac:dyDescent="0.25">
      <c r="A2122" t="str">
        <f>"51.3802"</f>
        <v>51.3802</v>
      </c>
      <c r="B2122" t="s">
        <v>2018</v>
      </c>
      <c r="C2122" t="s">
        <v>7</v>
      </c>
      <c r="D2122" t="s">
        <v>11</v>
      </c>
      <c r="E2122" t="str">
        <f>"51.3802"</f>
        <v>51.3802</v>
      </c>
      <c r="F2122" t="s">
        <v>2018</v>
      </c>
    </row>
    <row r="2123" spans="1:6" x14ac:dyDescent="0.25">
      <c r="A2123" t="str">
        <f>"51.3803"</f>
        <v>51.3803</v>
      </c>
      <c r="B2123" t="s">
        <v>2019</v>
      </c>
      <c r="C2123" t="s">
        <v>7</v>
      </c>
      <c r="D2123" t="s">
        <v>11</v>
      </c>
      <c r="E2123" t="str">
        <f>"51.3803"</f>
        <v>51.3803</v>
      </c>
      <c r="F2123" t="s">
        <v>2019</v>
      </c>
    </row>
    <row r="2124" spans="1:6" x14ac:dyDescent="0.25">
      <c r="A2124" t="str">
        <f>"51.3804"</f>
        <v>51.3804</v>
      </c>
      <c r="B2124" t="s">
        <v>2020</v>
      </c>
      <c r="C2124" t="s">
        <v>7</v>
      </c>
      <c r="D2124" t="s">
        <v>11</v>
      </c>
      <c r="E2124" t="str">
        <f>"51.3804"</f>
        <v>51.3804</v>
      </c>
      <c r="F2124" t="s">
        <v>2020</v>
      </c>
    </row>
    <row r="2125" spans="1:6" x14ac:dyDescent="0.25">
      <c r="A2125" t="str">
        <f>"51.3805"</f>
        <v>51.3805</v>
      </c>
      <c r="B2125" t="s">
        <v>2021</v>
      </c>
      <c r="C2125" t="s">
        <v>7</v>
      </c>
      <c r="D2125" t="s">
        <v>11</v>
      </c>
      <c r="E2125" t="str">
        <f>"51.3805"</f>
        <v>51.3805</v>
      </c>
      <c r="F2125" t="s">
        <v>2021</v>
      </c>
    </row>
    <row r="2126" spans="1:6" x14ac:dyDescent="0.25">
      <c r="A2126" t="str">
        <f>"51.3806"</f>
        <v>51.3806</v>
      </c>
      <c r="B2126" t="s">
        <v>2022</v>
      </c>
      <c r="C2126" t="s">
        <v>7</v>
      </c>
      <c r="D2126" t="s">
        <v>11</v>
      </c>
      <c r="E2126" t="str">
        <f>"51.3806"</f>
        <v>51.3806</v>
      </c>
      <c r="F2126" t="s">
        <v>2022</v>
      </c>
    </row>
    <row r="2127" spans="1:6" x14ac:dyDescent="0.25">
      <c r="A2127" t="str">
        <f>"51.3807"</f>
        <v>51.3807</v>
      </c>
      <c r="B2127" t="s">
        <v>2023</v>
      </c>
      <c r="C2127" t="s">
        <v>7</v>
      </c>
      <c r="D2127" t="s">
        <v>11</v>
      </c>
      <c r="E2127" t="str">
        <f>"51.3807"</f>
        <v>51.3807</v>
      </c>
      <c r="F2127" t="s">
        <v>2023</v>
      </c>
    </row>
    <row r="2128" spans="1:6" x14ac:dyDescent="0.25">
      <c r="A2128" t="str">
        <f>"51.3808"</f>
        <v>51.3808</v>
      </c>
      <c r="B2128" t="s">
        <v>2024</v>
      </c>
      <c r="C2128" t="s">
        <v>7</v>
      </c>
      <c r="D2128" t="s">
        <v>11</v>
      </c>
      <c r="E2128" t="str">
        <f>"51.3808"</f>
        <v>51.3808</v>
      </c>
      <c r="F2128" t="s">
        <v>2024</v>
      </c>
    </row>
    <row r="2129" spans="1:6" x14ac:dyDescent="0.25">
      <c r="A2129" t="str">
        <f>"51.3809"</f>
        <v>51.3809</v>
      </c>
      <c r="B2129" t="s">
        <v>2025</v>
      </c>
      <c r="C2129" t="s">
        <v>7</v>
      </c>
      <c r="D2129" t="s">
        <v>11</v>
      </c>
      <c r="E2129" t="str">
        <f>"51.3809"</f>
        <v>51.3809</v>
      </c>
      <c r="F2129" t="s">
        <v>2025</v>
      </c>
    </row>
    <row r="2130" spans="1:6" x14ac:dyDescent="0.25">
      <c r="A2130" t="str">
        <f>"51.3810"</f>
        <v>51.3810</v>
      </c>
      <c r="B2130" t="s">
        <v>2026</v>
      </c>
      <c r="C2130" t="s">
        <v>7</v>
      </c>
      <c r="D2130" t="s">
        <v>11</v>
      </c>
      <c r="E2130" t="str">
        <f>"51.3810"</f>
        <v>51.3810</v>
      </c>
      <c r="F2130" t="s">
        <v>2026</v>
      </c>
    </row>
    <row r="2131" spans="1:6" x14ac:dyDescent="0.25">
      <c r="A2131" t="str">
        <f>"51.3811"</f>
        <v>51.3811</v>
      </c>
      <c r="B2131" t="s">
        <v>2027</v>
      </c>
      <c r="C2131" t="s">
        <v>7</v>
      </c>
      <c r="D2131" t="s">
        <v>11</v>
      </c>
      <c r="E2131" t="str">
        <f>"51.3811"</f>
        <v>51.3811</v>
      </c>
      <c r="F2131" t="s">
        <v>2027</v>
      </c>
    </row>
    <row r="2132" spans="1:6" x14ac:dyDescent="0.25">
      <c r="A2132" t="str">
        <f>"51.3812"</f>
        <v>51.3812</v>
      </c>
      <c r="B2132" t="s">
        <v>2028</v>
      </c>
      <c r="C2132" t="s">
        <v>7</v>
      </c>
      <c r="D2132" t="s">
        <v>11</v>
      </c>
      <c r="E2132" t="str">
        <f>"51.3812"</f>
        <v>51.3812</v>
      </c>
      <c r="F2132" t="s">
        <v>2028</v>
      </c>
    </row>
    <row r="2133" spans="1:6" x14ac:dyDescent="0.25">
      <c r="A2133" t="str">
        <f>"51.3813"</f>
        <v>51.3813</v>
      </c>
      <c r="B2133" t="s">
        <v>2029</v>
      </c>
      <c r="C2133" t="s">
        <v>7</v>
      </c>
      <c r="D2133" t="s">
        <v>11</v>
      </c>
      <c r="E2133" t="str">
        <f>"51.3813"</f>
        <v>51.3813</v>
      </c>
      <c r="F2133" t="s">
        <v>2029</v>
      </c>
    </row>
    <row r="2134" spans="1:6" x14ac:dyDescent="0.25">
      <c r="A2134" t="str">
        <f>"51.3814"</f>
        <v>51.3814</v>
      </c>
      <c r="B2134" t="s">
        <v>2030</v>
      </c>
      <c r="C2134" t="s">
        <v>7</v>
      </c>
      <c r="D2134" t="s">
        <v>11</v>
      </c>
      <c r="E2134" t="str">
        <f>"51.3814"</f>
        <v>51.3814</v>
      </c>
      <c r="F2134" t="s">
        <v>2030</v>
      </c>
    </row>
    <row r="2135" spans="1:6" x14ac:dyDescent="0.25">
      <c r="A2135" t="str">
        <f>"51.3815"</f>
        <v>51.3815</v>
      </c>
      <c r="B2135" t="s">
        <v>2031</v>
      </c>
      <c r="C2135" t="s">
        <v>7</v>
      </c>
      <c r="D2135" t="s">
        <v>11</v>
      </c>
      <c r="E2135" t="str">
        <f>"51.3815"</f>
        <v>51.3815</v>
      </c>
      <c r="F2135" t="s">
        <v>2031</v>
      </c>
    </row>
    <row r="2136" spans="1:6" x14ac:dyDescent="0.25">
      <c r="A2136" t="str">
        <f>"51.3816"</f>
        <v>51.3816</v>
      </c>
      <c r="B2136" t="s">
        <v>2032</v>
      </c>
      <c r="C2136" t="s">
        <v>7</v>
      </c>
      <c r="D2136" t="s">
        <v>11</v>
      </c>
      <c r="E2136" t="str">
        <f>"51.3816"</f>
        <v>51.3816</v>
      </c>
      <c r="F2136" t="s">
        <v>2032</v>
      </c>
    </row>
    <row r="2137" spans="1:6" x14ac:dyDescent="0.25">
      <c r="A2137" t="str">
        <f>"51.3817"</f>
        <v>51.3817</v>
      </c>
      <c r="B2137" t="s">
        <v>2033</v>
      </c>
      <c r="C2137" t="s">
        <v>38</v>
      </c>
      <c r="D2137" t="s">
        <v>11</v>
      </c>
      <c r="E2137" t="str">
        <f>"51.3203"</f>
        <v>51.3203</v>
      </c>
      <c r="F2137" t="s">
        <v>2033</v>
      </c>
    </row>
    <row r="2138" spans="1:6" x14ac:dyDescent="0.25">
      <c r="A2138" t="str">
        <f>"51.3818"</f>
        <v>51.3818</v>
      </c>
      <c r="B2138" t="s">
        <v>2034</v>
      </c>
      <c r="C2138" t="s">
        <v>7</v>
      </c>
      <c r="D2138" t="s">
        <v>11</v>
      </c>
      <c r="E2138" t="str">
        <f>"51.3818"</f>
        <v>51.3818</v>
      </c>
      <c r="F2138" t="s">
        <v>2034</v>
      </c>
    </row>
    <row r="2139" spans="1:6" x14ac:dyDescent="0.25">
      <c r="A2139" t="str">
        <f>"51.3819"</f>
        <v>51.3819</v>
      </c>
      <c r="B2139" t="s">
        <v>2035</v>
      </c>
      <c r="C2139" t="s">
        <v>7</v>
      </c>
      <c r="D2139" t="s">
        <v>11</v>
      </c>
      <c r="E2139" t="str">
        <f>"51.3819"</f>
        <v>51.3819</v>
      </c>
      <c r="F2139" t="s">
        <v>2035</v>
      </c>
    </row>
    <row r="2140" spans="1:6" x14ac:dyDescent="0.25">
      <c r="A2140" t="str">
        <f>"51.3820"</f>
        <v>51.3820</v>
      </c>
      <c r="B2140" t="s">
        <v>2036</v>
      </c>
      <c r="C2140" t="s">
        <v>7</v>
      </c>
      <c r="D2140" t="s">
        <v>11</v>
      </c>
      <c r="E2140" t="str">
        <f>"51.3820"</f>
        <v>51.3820</v>
      </c>
      <c r="F2140" t="s">
        <v>2036</v>
      </c>
    </row>
    <row r="2141" spans="1:6" x14ac:dyDescent="0.25">
      <c r="A2141" t="str">
        <f>"51.3821"</f>
        <v>51.3821</v>
      </c>
      <c r="B2141" t="s">
        <v>2037</v>
      </c>
      <c r="C2141" t="s">
        <v>7</v>
      </c>
      <c r="D2141" t="s">
        <v>11</v>
      </c>
      <c r="E2141" t="str">
        <f>"51.3821"</f>
        <v>51.3821</v>
      </c>
      <c r="F2141" t="s">
        <v>2037</v>
      </c>
    </row>
    <row r="2142" spans="1:6" x14ac:dyDescent="0.25">
      <c r="A2142" t="str">
        <f>"51.3822"</f>
        <v>51.3822</v>
      </c>
      <c r="B2142" t="s">
        <v>2038</v>
      </c>
      <c r="C2142" t="s">
        <v>7</v>
      </c>
      <c r="D2142" t="s">
        <v>11</v>
      </c>
      <c r="E2142" t="str">
        <f>"51.3822"</f>
        <v>51.3822</v>
      </c>
      <c r="F2142" t="s">
        <v>2038</v>
      </c>
    </row>
    <row r="2143" spans="1:6" x14ac:dyDescent="0.25">
      <c r="C2143" t="s">
        <v>26</v>
      </c>
      <c r="D2143" t="s">
        <v>11</v>
      </c>
      <c r="E2143" t="str">
        <f>"51.3823"</f>
        <v>51.3823</v>
      </c>
      <c r="F2143" t="s">
        <v>42</v>
      </c>
    </row>
    <row r="2144" spans="1:6" x14ac:dyDescent="0.25">
      <c r="C2144" t="s">
        <v>26</v>
      </c>
      <c r="D2144" t="s">
        <v>11</v>
      </c>
      <c r="E2144" t="str">
        <f>"51.3824"</f>
        <v>51.3824</v>
      </c>
      <c r="F2144" t="s">
        <v>2039</v>
      </c>
    </row>
    <row r="2145" spans="1:6" x14ac:dyDescent="0.25">
      <c r="A2145" t="str">
        <f>"51.3899"</f>
        <v>51.3899</v>
      </c>
      <c r="B2145" t="s">
        <v>2040</v>
      </c>
      <c r="C2145" t="s">
        <v>7</v>
      </c>
      <c r="D2145" t="s">
        <v>11</v>
      </c>
      <c r="E2145" t="str">
        <f>"51.3899"</f>
        <v>51.3899</v>
      </c>
      <c r="F2145" t="s">
        <v>2040</v>
      </c>
    </row>
    <row r="2146" spans="1:6" x14ac:dyDescent="0.25">
      <c r="A2146" t="str">
        <f>"51.39"</f>
        <v>51.39</v>
      </c>
      <c r="B2146" t="s">
        <v>2041</v>
      </c>
      <c r="C2146" t="s">
        <v>7</v>
      </c>
      <c r="D2146" t="s">
        <v>11</v>
      </c>
      <c r="E2146" t="str">
        <f>"51.39"</f>
        <v>51.39</v>
      </c>
      <c r="F2146" t="s">
        <v>2041</v>
      </c>
    </row>
    <row r="2147" spans="1:6" x14ac:dyDescent="0.25">
      <c r="A2147" t="str">
        <f>"51.3901"</f>
        <v>51.3901</v>
      </c>
      <c r="B2147" t="s">
        <v>2042</v>
      </c>
      <c r="C2147" t="s">
        <v>7</v>
      </c>
      <c r="D2147" t="s">
        <v>11</v>
      </c>
      <c r="E2147" t="str">
        <f>"51.3901"</f>
        <v>51.3901</v>
      </c>
      <c r="F2147" t="s">
        <v>2042</v>
      </c>
    </row>
    <row r="2148" spans="1:6" x14ac:dyDescent="0.25">
      <c r="A2148" t="str">
        <f>"51.3902"</f>
        <v>51.3902</v>
      </c>
      <c r="B2148" t="s">
        <v>2043</v>
      </c>
      <c r="C2148" t="s">
        <v>7</v>
      </c>
      <c r="D2148" t="s">
        <v>11</v>
      </c>
      <c r="E2148" t="str">
        <f>"51.3902"</f>
        <v>51.3902</v>
      </c>
      <c r="F2148" t="s">
        <v>2043</v>
      </c>
    </row>
    <row r="2149" spans="1:6" x14ac:dyDescent="0.25">
      <c r="A2149" t="str">
        <f>"51.3999"</f>
        <v>51.3999</v>
      </c>
      <c r="B2149" t="s">
        <v>2044</v>
      </c>
      <c r="C2149" t="s">
        <v>7</v>
      </c>
      <c r="D2149" t="s">
        <v>11</v>
      </c>
      <c r="E2149" t="str">
        <f>"51.3999"</f>
        <v>51.3999</v>
      </c>
      <c r="F2149" t="s">
        <v>2044</v>
      </c>
    </row>
    <row r="2150" spans="1:6" x14ac:dyDescent="0.25">
      <c r="A2150" t="str">
        <f>"51.99"</f>
        <v>51.99</v>
      </c>
      <c r="B2150" t="s">
        <v>2045</v>
      </c>
      <c r="C2150" t="s">
        <v>7</v>
      </c>
      <c r="D2150" t="s">
        <v>11</v>
      </c>
      <c r="E2150" t="str">
        <f>"51.99"</f>
        <v>51.99</v>
      </c>
      <c r="F2150" t="s">
        <v>2045</v>
      </c>
    </row>
    <row r="2151" spans="1:6" x14ac:dyDescent="0.25">
      <c r="C2151" t="s">
        <v>26</v>
      </c>
      <c r="D2151" t="s">
        <v>11</v>
      </c>
      <c r="E2151" t="str">
        <f>"51.9980"</f>
        <v>51.9980</v>
      </c>
      <c r="F2151" t="s">
        <v>42</v>
      </c>
    </row>
    <row r="2152" spans="1:6" x14ac:dyDescent="0.25">
      <c r="A2152" t="str">
        <f>"51.9999"</f>
        <v>51.9999</v>
      </c>
      <c r="B2152" t="s">
        <v>2045</v>
      </c>
      <c r="C2152" t="s">
        <v>7</v>
      </c>
      <c r="D2152" t="s">
        <v>11</v>
      </c>
      <c r="E2152" t="str">
        <f>"51.9999"</f>
        <v>51.9999</v>
      </c>
      <c r="F2152" t="s">
        <v>2045</v>
      </c>
    </row>
    <row r="2153" spans="1:6" x14ac:dyDescent="0.25">
      <c r="A2153" t="str">
        <f>"52"</f>
        <v>52</v>
      </c>
      <c r="B2153" t="s">
        <v>2046</v>
      </c>
      <c r="C2153" t="s">
        <v>7</v>
      </c>
      <c r="D2153" t="s">
        <v>11</v>
      </c>
      <c r="E2153" t="str">
        <f>"52"</f>
        <v>52</v>
      </c>
      <c r="F2153" t="s">
        <v>2046</v>
      </c>
    </row>
    <row r="2154" spans="1:6" x14ac:dyDescent="0.25">
      <c r="A2154" t="str">
        <f>"52.01"</f>
        <v>52.01</v>
      </c>
      <c r="B2154" t="s">
        <v>2047</v>
      </c>
      <c r="C2154" t="s">
        <v>7</v>
      </c>
      <c r="D2154" t="s">
        <v>11</v>
      </c>
      <c r="E2154" t="str">
        <f>"52.01"</f>
        <v>52.01</v>
      </c>
      <c r="F2154" t="s">
        <v>2047</v>
      </c>
    </row>
    <row r="2155" spans="1:6" x14ac:dyDescent="0.25">
      <c r="A2155" t="str">
        <f>"52.0101"</f>
        <v>52.0101</v>
      </c>
      <c r="B2155" t="s">
        <v>2047</v>
      </c>
      <c r="C2155" t="s">
        <v>7</v>
      </c>
      <c r="D2155" t="s">
        <v>11</v>
      </c>
      <c r="E2155" t="str">
        <f>"52.0101"</f>
        <v>52.0101</v>
      </c>
      <c r="F2155" t="s">
        <v>2047</v>
      </c>
    </row>
    <row r="2156" spans="1:6" x14ac:dyDescent="0.25">
      <c r="A2156" t="str">
        <f>"52.02"</f>
        <v>52.02</v>
      </c>
      <c r="B2156" t="s">
        <v>2048</v>
      </c>
      <c r="C2156" t="s">
        <v>7</v>
      </c>
      <c r="D2156" t="s">
        <v>11</v>
      </c>
      <c r="E2156" t="str">
        <f>"52.02"</f>
        <v>52.02</v>
      </c>
      <c r="F2156" t="s">
        <v>2048</v>
      </c>
    </row>
    <row r="2157" spans="1:6" x14ac:dyDescent="0.25">
      <c r="A2157" t="str">
        <f>"52.0201"</f>
        <v>52.0201</v>
      </c>
      <c r="B2157" t="s">
        <v>2049</v>
      </c>
      <c r="C2157" t="s">
        <v>7</v>
      </c>
      <c r="D2157" t="s">
        <v>11</v>
      </c>
      <c r="E2157" t="str">
        <f>"52.0201"</f>
        <v>52.0201</v>
      </c>
      <c r="F2157" t="s">
        <v>2049</v>
      </c>
    </row>
    <row r="2158" spans="1:6" x14ac:dyDescent="0.25">
      <c r="A2158" t="str">
        <f>"52.0202"</f>
        <v>52.0202</v>
      </c>
      <c r="B2158" t="s">
        <v>2050</v>
      </c>
      <c r="C2158" t="s">
        <v>7</v>
      </c>
      <c r="D2158" t="s">
        <v>11</v>
      </c>
      <c r="E2158" t="str">
        <f>"52.0202"</f>
        <v>52.0202</v>
      </c>
      <c r="F2158" t="s">
        <v>2050</v>
      </c>
    </row>
    <row r="2159" spans="1:6" x14ac:dyDescent="0.25">
      <c r="A2159" t="str">
        <f>"52.0203"</f>
        <v>52.0203</v>
      </c>
      <c r="B2159" t="s">
        <v>2051</v>
      </c>
      <c r="C2159" t="s">
        <v>7</v>
      </c>
      <c r="D2159" t="s">
        <v>11</v>
      </c>
      <c r="E2159" t="str">
        <f>"52.0203"</f>
        <v>52.0203</v>
      </c>
      <c r="F2159" t="s">
        <v>2051</v>
      </c>
    </row>
    <row r="2160" spans="1:6" x14ac:dyDescent="0.25">
      <c r="A2160" t="str">
        <f>"52.0204"</f>
        <v>52.0204</v>
      </c>
      <c r="B2160" t="s">
        <v>2052</v>
      </c>
      <c r="C2160" t="s">
        <v>7</v>
      </c>
      <c r="D2160" t="s">
        <v>11</v>
      </c>
      <c r="E2160" t="str">
        <f>"52.0204"</f>
        <v>52.0204</v>
      </c>
      <c r="F2160" t="s">
        <v>2052</v>
      </c>
    </row>
    <row r="2161" spans="1:6" x14ac:dyDescent="0.25">
      <c r="A2161" t="str">
        <f>"52.0205"</f>
        <v>52.0205</v>
      </c>
      <c r="B2161" t="s">
        <v>2053</v>
      </c>
      <c r="C2161" t="s">
        <v>7</v>
      </c>
      <c r="D2161" t="s">
        <v>11</v>
      </c>
      <c r="E2161" t="str">
        <f>"52.0205"</f>
        <v>52.0205</v>
      </c>
      <c r="F2161" t="s">
        <v>2053</v>
      </c>
    </row>
    <row r="2162" spans="1:6" x14ac:dyDescent="0.25">
      <c r="A2162" t="str">
        <f>"52.0206"</f>
        <v>52.0206</v>
      </c>
      <c r="B2162" t="s">
        <v>2054</v>
      </c>
      <c r="C2162" t="s">
        <v>7</v>
      </c>
      <c r="D2162" t="s">
        <v>11</v>
      </c>
      <c r="E2162" t="str">
        <f>"52.0206"</f>
        <v>52.0206</v>
      </c>
      <c r="F2162" t="s">
        <v>2054</v>
      </c>
    </row>
    <row r="2163" spans="1:6" x14ac:dyDescent="0.25">
      <c r="A2163" t="str">
        <f>"52.0207"</f>
        <v>52.0207</v>
      </c>
      <c r="B2163" t="s">
        <v>2055</v>
      </c>
      <c r="C2163" t="s">
        <v>7</v>
      </c>
      <c r="D2163" t="s">
        <v>11</v>
      </c>
      <c r="E2163" t="str">
        <f>"52.0207"</f>
        <v>52.0207</v>
      </c>
      <c r="F2163" t="s">
        <v>2055</v>
      </c>
    </row>
    <row r="2164" spans="1:6" x14ac:dyDescent="0.25">
      <c r="A2164" t="str">
        <f>"52.0208"</f>
        <v>52.0208</v>
      </c>
      <c r="B2164" t="s">
        <v>2056</v>
      </c>
      <c r="C2164" t="s">
        <v>7</v>
      </c>
      <c r="D2164" t="s">
        <v>11</v>
      </c>
      <c r="E2164" t="str">
        <f>"52.0208"</f>
        <v>52.0208</v>
      </c>
      <c r="F2164" t="s">
        <v>2056</v>
      </c>
    </row>
    <row r="2165" spans="1:6" x14ac:dyDescent="0.25">
      <c r="A2165" t="str">
        <f>"52.0209"</f>
        <v>52.0209</v>
      </c>
      <c r="B2165" t="s">
        <v>2057</v>
      </c>
      <c r="C2165" t="s">
        <v>7</v>
      </c>
      <c r="D2165" t="s">
        <v>8</v>
      </c>
      <c r="E2165" t="str">
        <f>"52.0209"</f>
        <v>52.0209</v>
      </c>
      <c r="F2165" t="s">
        <v>2057</v>
      </c>
    </row>
    <row r="2166" spans="1:6" x14ac:dyDescent="0.25">
      <c r="A2166" t="str">
        <f>"52.0210"</f>
        <v>52.0210</v>
      </c>
      <c r="B2166" t="s">
        <v>2058</v>
      </c>
      <c r="C2166" t="s">
        <v>7</v>
      </c>
      <c r="D2166" t="s">
        <v>11</v>
      </c>
      <c r="E2166" t="str">
        <f>"52.0210"</f>
        <v>52.0210</v>
      </c>
      <c r="F2166" t="s">
        <v>2058</v>
      </c>
    </row>
    <row r="2167" spans="1:6" x14ac:dyDescent="0.25">
      <c r="A2167" t="str">
        <f>"52.0211"</f>
        <v>52.0211</v>
      </c>
      <c r="B2167" t="s">
        <v>2059</v>
      </c>
      <c r="C2167" t="s">
        <v>7</v>
      </c>
      <c r="D2167" t="s">
        <v>11</v>
      </c>
      <c r="E2167" t="str">
        <f>"52.0211"</f>
        <v>52.0211</v>
      </c>
      <c r="F2167" t="s">
        <v>2059</v>
      </c>
    </row>
    <row r="2168" spans="1:6" x14ac:dyDescent="0.25">
      <c r="A2168" t="str">
        <f>"52.0212"</f>
        <v>52.0212</v>
      </c>
      <c r="B2168" t="s">
        <v>2060</v>
      </c>
      <c r="C2168" t="s">
        <v>7</v>
      </c>
      <c r="D2168" t="s">
        <v>11</v>
      </c>
      <c r="E2168" t="str">
        <f>"52.0212"</f>
        <v>52.0212</v>
      </c>
      <c r="F2168" t="s">
        <v>2060</v>
      </c>
    </row>
    <row r="2169" spans="1:6" x14ac:dyDescent="0.25">
      <c r="A2169" t="str">
        <f>"52.0213"</f>
        <v>52.0213</v>
      </c>
      <c r="B2169" t="s">
        <v>2061</v>
      </c>
      <c r="C2169" t="s">
        <v>7</v>
      </c>
      <c r="D2169" t="s">
        <v>11</v>
      </c>
      <c r="E2169" t="str">
        <f>"52.0213"</f>
        <v>52.0213</v>
      </c>
      <c r="F2169" t="s">
        <v>2061</v>
      </c>
    </row>
    <row r="2170" spans="1:6" x14ac:dyDescent="0.25">
      <c r="C2170" t="s">
        <v>26</v>
      </c>
      <c r="D2170" t="s">
        <v>11</v>
      </c>
      <c r="E2170" t="str">
        <f>"52.0214"</f>
        <v>52.0214</v>
      </c>
      <c r="F2170" t="s">
        <v>2062</v>
      </c>
    </row>
    <row r="2171" spans="1:6" x14ac:dyDescent="0.25">
      <c r="C2171" t="s">
        <v>26</v>
      </c>
      <c r="D2171" t="s">
        <v>11</v>
      </c>
      <c r="E2171" t="str">
        <f>"52.0215"</f>
        <v>52.0215</v>
      </c>
      <c r="F2171" t="s">
        <v>2063</v>
      </c>
    </row>
    <row r="2172" spans="1:6" x14ac:dyDescent="0.25">
      <c r="C2172" t="s">
        <v>26</v>
      </c>
      <c r="D2172" t="s">
        <v>11</v>
      </c>
      <c r="E2172" t="str">
        <f>"52.0216"</f>
        <v>52.0216</v>
      </c>
      <c r="F2172" t="s">
        <v>2064</v>
      </c>
    </row>
    <row r="2173" spans="1:6" x14ac:dyDescent="0.25">
      <c r="A2173" t="str">
        <f>"52.0299"</f>
        <v>52.0299</v>
      </c>
      <c r="B2173" t="s">
        <v>2065</v>
      </c>
      <c r="C2173" t="s">
        <v>7</v>
      </c>
      <c r="D2173" t="s">
        <v>11</v>
      </c>
      <c r="E2173" t="str">
        <f>"52.0299"</f>
        <v>52.0299</v>
      </c>
      <c r="F2173" t="s">
        <v>2065</v>
      </c>
    </row>
    <row r="2174" spans="1:6" x14ac:dyDescent="0.25">
      <c r="A2174" t="str">
        <f>"52.03"</f>
        <v>52.03</v>
      </c>
      <c r="B2174" t="s">
        <v>2066</v>
      </c>
      <c r="C2174" t="s">
        <v>7</v>
      </c>
      <c r="D2174" t="s">
        <v>11</v>
      </c>
      <c r="E2174" t="str">
        <f>"52.03"</f>
        <v>52.03</v>
      </c>
      <c r="F2174" t="s">
        <v>2066</v>
      </c>
    </row>
    <row r="2175" spans="1:6" x14ac:dyDescent="0.25">
      <c r="A2175" t="str">
        <f>"52.0301"</f>
        <v>52.0301</v>
      </c>
      <c r="B2175" t="s">
        <v>2067</v>
      </c>
      <c r="C2175" t="s">
        <v>7</v>
      </c>
      <c r="D2175" t="s">
        <v>11</v>
      </c>
      <c r="E2175" t="str">
        <f>"52.0301"</f>
        <v>52.0301</v>
      </c>
      <c r="F2175" t="s">
        <v>2067</v>
      </c>
    </row>
    <row r="2176" spans="1:6" x14ac:dyDescent="0.25">
      <c r="A2176" t="str">
        <f>"52.0302"</f>
        <v>52.0302</v>
      </c>
      <c r="B2176" t="s">
        <v>2068</v>
      </c>
      <c r="C2176" t="s">
        <v>7</v>
      </c>
      <c r="D2176" t="s">
        <v>11</v>
      </c>
      <c r="E2176" t="str">
        <f>"52.0302"</f>
        <v>52.0302</v>
      </c>
      <c r="F2176" t="s">
        <v>2068</v>
      </c>
    </row>
    <row r="2177" spans="1:6" x14ac:dyDescent="0.25">
      <c r="A2177" t="str">
        <f>"52.0303"</f>
        <v>52.0303</v>
      </c>
      <c r="B2177" t="s">
        <v>2069</v>
      </c>
      <c r="C2177" t="s">
        <v>7</v>
      </c>
      <c r="D2177" t="s">
        <v>11</v>
      </c>
      <c r="E2177" t="str">
        <f>"52.0303"</f>
        <v>52.0303</v>
      </c>
      <c r="F2177" t="s">
        <v>2069</v>
      </c>
    </row>
    <row r="2178" spans="1:6" x14ac:dyDescent="0.25">
      <c r="A2178" t="str">
        <f>"52.0304"</f>
        <v>52.0304</v>
      </c>
      <c r="B2178" t="s">
        <v>2070</v>
      </c>
      <c r="C2178" t="s">
        <v>7</v>
      </c>
      <c r="D2178" t="s">
        <v>11</v>
      </c>
      <c r="E2178" t="str">
        <f>"52.0304"</f>
        <v>52.0304</v>
      </c>
      <c r="F2178" t="s">
        <v>2070</v>
      </c>
    </row>
    <row r="2179" spans="1:6" x14ac:dyDescent="0.25">
      <c r="A2179" t="str">
        <f>"52.0305"</f>
        <v>52.0305</v>
      </c>
      <c r="B2179" t="s">
        <v>2071</v>
      </c>
      <c r="C2179" t="s">
        <v>7</v>
      </c>
      <c r="D2179" t="s">
        <v>11</v>
      </c>
      <c r="E2179" t="str">
        <f>"52.0305"</f>
        <v>52.0305</v>
      </c>
      <c r="F2179" t="s">
        <v>2071</v>
      </c>
    </row>
    <row r="2180" spans="1:6" x14ac:dyDescent="0.25">
      <c r="A2180" t="str">
        <f>"52.0399"</f>
        <v>52.0399</v>
      </c>
      <c r="B2180" t="s">
        <v>2072</v>
      </c>
      <c r="C2180" t="s">
        <v>7</v>
      </c>
      <c r="D2180" t="s">
        <v>11</v>
      </c>
      <c r="E2180" t="str">
        <f>"52.0399"</f>
        <v>52.0399</v>
      </c>
      <c r="F2180" t="s">
        <v>2072</v>
      </c>
    </row>
    <row r="2181" spans="1:6" x14ac:dyDescent="0.25">
      <c r="A2181" t="str">
        <f>"52.04"</f>
        <v>52.04</v>
      </c>
      <c r="B2181" t="s">
        <v>2073</v>
      </c>
      <c r="C2181" t="s">
        <v>7</v>
      </c>
      <c r="D2181" t="s">
        <v>11</v>
      </c>
      <c r="E2181" t="str">
        <f>"52.04"</f>
        <v>52.04</v>
      </c>
      <c r="F2181" t="s">
        <v>2073</v>
      </c>
    </row>
    <row r="2182" spans="1:6" x14ac:dyDescent="0.25">
      <c r="A2182" t="str">
        <f>"52.0401"</f>
        <v>52.0401</v>
      </c>
      <c r="B2182" t="s">
        <v>2074</v>
      </c>
      <c r="C2182" t="s">
        <v>7</v>
      </c>
      <c r="D2182" t="s">
        <v>11</v>
      </c>
      <c r="E2182" t="str">
        <f>"52.0401"</f>
        <v>52.0401</v>
      </c>
      <c r="F2182" t="s">
        <v>2074</v>
      </c>
    </row>
    <row r="2183" spans="1:6" x14ac:dyDescent="0.25">
      <c r="A2183" t="str">
        <f>"52.0402"</f>
        <v>52.0402</v>
      </c>
      <c r="B2183" t="s">
        <v>2075</v>
      </c>
      <c r="C2183" t="s">
        <v>7</v>
      </c>
      <c r="D2183" t="s">
        <v>11</v>
      </c>
      <c r="E2183" t="str">
        <f>"52.0402"</f>
        <v>52.0402</v>
      </c>
      <c r="F2183" t="s">
        <v>2075</v>
      </c>
    </row>
    <row r="2184" spans="1:6" x14ac:dyDescent="0.25">
      <c r="A2184" t="str">
        <f>"52.0406"</f>
        <v>52.0406</v>
      </c>
      <c r="B2184" t="s">
        <v>2076</v>
      </c>
      <c r="C2184" t="s">
        <v>7</v>
      </c>
      <c r="D2184" t="s">
        <v>11</v>
      </c>
      <c r="E2184" t="str">
        <f>"52.0406"</f>
        <v>52.0406</v>
      </c>
      <c r="F2184" t="s">
        <v>2076</v>
      </c>
    </row>
    <row r="2185" spans="1:6" x14ac:dyDescent="0.25">
      <c r="A2185" t="str">
        <f>"52.0407"</f>
        <v>52.0407</v>
      </c>
      <c r="B2185" t="s">
        <v>2077</v>
      </c>
      <c r="C2185" t="s">
        <v>7</v>
      </c>
      <c r="D2185" t="s">
        <v>11</v>
      </c>
      <c r="E2185" t="str">
        <f>"52.0407"</f>
        <v>52.0407</v>
      </c>
      <c r="F2185" t="s">
        <v>2077</v>
      </c>
    </row>
    <row r="2186" spans="1:6" x14ac:dyDescent="0.25">
      <c r="A2186" t="str">
        <f>"52.0408"</f>
        <v>52.0408</v>
      </c>
      <c r="B2186" t="s">
        <v>2078</v>
      </c>
      <c r="C2186" t="s">
        <v>7</v>
      </c>
      <c r="D2186" t="s">
        <v>11</v>
      </c>
      <c r="E2186" t="str">
        <f>"52.0408"</f>
        <v>52.0408</v>
      </c>
      <c r="F2186" t="s">
        <v>2078</v>
      </c>
    </row>
    <row r="2187" spans="1:6" x14ac:dyDescent="0.25">
      <c r="A2187" t="str">
        <f>"52.0409"</f>
        <v>52.0409</v>
      </c>
      <c r="B2187" t="s">
        <v>2079</v>
      </c>
      <c r="C2187" t="s">
        <v>7</v>
      </c>
      <c r="D2187" t="s">
        <v>11</v>
      </c>
      <c r="E2187" t="str">
        <f>"52.0409"</f>
        <v>52.0409</v>
      </c>
      <c r="F2187" t="s">
        <v>2079</v>
      </c>
    </row>
    <row r="2188" spans="1:6" x14ac:dyDescent="0.25">
      <c r="A2188" t="str">
        <f>"52.0410"</f>
        <v>52.0410</v>
      </c>
      <c r="B2188" t="s">
        <v>2080</v>
      </c>
      <c r="C2188" t="s">
        <v>7</v>
      </c>
      <c r="D2188" t="s">
        <v>11</v>
      </c>
      <c r="E2188" t="str">
        <f>"52.0410"</f>
        <v>52.0410</v>
      </c>
      <c r="F2188" t="s">
        <v>2080</v>
      </c>
    </row>
    <row r="2189" spans="1:6" x14ac:dyDescent="0.25">
      <c r="A2189" t="str">
        <f>"52.0411"</f>
        <v>52.0411</v>
      </c>
      <c r="B2189" t="s">
        <v>2081</v>
      </c>
      <c r="C2189" t="s">
        <v>7</v>
      </c>
      <c r="D2189" t="s">
        <v>11</v>
      </c>
      <c r="E2189" t="str">
        <f>"52.0411"</f>
        <v>52.0411</v>
      </c>
      <c r="F2189" t="s">
        <v>2081</v>
      </c>
    </row>
    <row r="2190" spans="1:6" x14ac:dyDescent="0.25">
      <c r="A2190" t="str">
        <f>"52.0499"</f>
        <v>52.0499</v>
      </c>
      <c r="B2190" t="s">
        <v>2082</v>
      </c>
      <c r="C2190" t="s">
        <v>7</v>
      </c>
      <c r="D2190" t="s">
        <v>11</v>
      </c>
      <c r="E2190" t="str">
        <f>"52.0499"</f>
        <v>52.0499</v>
      </c>
      <c r="F2190" t="s">
        <v>2082</v>
      </c>
    </row>
    <row r="2191" spans="1:6" x14ac:dyDescent="0.25">
      <c r="A2191" t="str">
        <f>"52.05"</f>
        <v>52.05</v>
      </c>
      <c r="B2191" t="s">
        <v>2083</v>
      </c>
      <c r="C2191" t="s">
        <v>7</v>
      </c>
      <c r="D2191" t="s">
        <v>11</v>
      </c>
      <c r="E2191" t="str">
        <f>"52.05"</f>
        <v>52.05</v>
      </c>
      <c r="F2191" t="s">
        <v>2083</v>
      </c>
    </row>
    <row r="2192" spans="1:6" x14ac:dyDescent="0.25">
      <c r="A2192" t="str">
        <f>"52.0501"</f>
        <v>52.0501</v>
      </c>
      <c r="B2192" t="s">
        <v>2083</v>
      </c>
      <c r="C2192" t="s">
        <v>7</v>
      </c>
      <c r="D2192" t="s">
        <v>8</v>
      </c>
      <c r="E2192" t="str">
        <f>"52.0501"</f>
        <v>52.0501</v>
      </c>
      <c r="F2192" t="s">
        <v>2084</v>
      </c>
    </row>
    <row r="2193" spans="1:6" x14ac:dyDescent="0.25">
      <c r="C2193" t="s">
        <v>26</v>
      </c>
      <c r="D2193" t="s">
        <v>11</v>
      </c>
      <c r="E2193" t="str">
        <f>"52.0502"</f>
        <v>52.0502</v>
      </c>
      <c r="F2193" t="s">
        <v>2085</v>
      </c>
    </row>
    <row r="2194" spans="1:6" x14ac:dyDescent="0.25">
      <c r="C2194" t="s">
        <v>26</v>
      </c>
      <c r="D2194" t="s">
        <v>11</v>
      </c>
      <c r="E2194" t="str">
        <f>"52.0599"</f>
        <v>52.0599</v>
      </c>
      <c r="F2194" t="s">
        <v>2086</v>
      </c>
    </row>
    <row r="2195" spans="1:6" x14ac:dyDescent="0.25">
      <c r="A2195" t="str">
        <f>"52.06"</f>
        <v>52.06</v>
      </c>
      <c r="B2195" t="s">
        <v>2087</v>
      </c>
      <c r="C2195" t="s">
        <v>7</v>
      </c>
      <c r="D2195" t="s">
        <v>11</v>
      </c>
      <c r="E2195" t="str">
        <f>"52.06"</f>
        <v>52.06</v>
      </c>
      <c r="F2195" t="s">
        <v>2087</v>
      </c>
    </row>
    <row r="2196" spans="1:6" x14ac:dyDescent="0.25">
      <c r="A2196" t="str">
        <f>"52.0601"</f>
        <v>52.0601</v>
      </c>
      <c r="B2196" t="s">
        <v>2087</v>
      </c>
      <c r="C2196" t="s">
        <v>7</v>
      </c>
      <c r="D2196" t="s">
        <v>11</v>
      </c>
      <c r="E2196" t="str">
        <f>"52.0601"</f>
        <v>52.0601</v>
      </c>
      <c r="F2196" t="s">
        <v>2087</v>
      </c>
    </row>
    <row r="2197" spans="1:6" x14ac:dyDescent="0.25">
      <c r="A2197" t="str">
        <f>"52.07"</f>
        <v>52.07</v>
      </c>
      <c r="B2197" t="s">
        <v>2088</v>
      </c>
      <c r="C2197" t="s">
        <v>7</v>
      </c>
      <c r="D2197" t="s">
        <v>11</v>
      </c>
      <c r="E2197" t="str">
        <f>"52.07"</f>
        <v>52.07</v>
      </c>
      <c r="F2197" t="s">
        <v>2088</v>
      </c>
    </row>
    <row r="2198" spans="1:6" x14ac:dyDescent="0.25">
      <c r="A2198" t="str">
        <f>"52.0701"</f>
        <v>52.0701</v>
      </c>
      <c r="B2198" t="s">
        <v>2089</v>
      </c>
      <c r="C2198" t="s">
        <v>7</v>
      </c>
      <c r="D2198" t="s">
        <v>11</v>
      </c>
      <c r="E2198" t="str">
        <f>"52.0701"</f>
        <v>52.0701</v>
      </c>
      <c r="F2198" t="s">
        <v>2089</v>
      </c>
    </row>
    <row r="2199" spans="1:6" x14ac:dyDescent="0.25">
      <c r="A2199" t="str">
        <f>"52.0702"</f>
        <v>52.0702</v>
      </c>
      <c r="B2199" t="s">
        <v>2090</v>
      </c>
      <c r="C2199" t="s">
        <v>7</v>
      </c>
      <c r="D2199" t="s">
        <v>11</v>
      </c>
      <c r="E2199" t="str">
        <f>"52.0702"</f>
        <v>52.0702</v>
      </c>
      <c r="F2199" t="s">
        <v>2090</v>
      </c>
    </row>
    <row r="2200" spans="1:6" x14ac:dyDescent="0.25">
      <c r="A2200" t="str">
        <f>"52.0703"</f>
        <v>52.0703</v>
      </c>
      <c r="B2200" t="s">
        <v>2091</v>
      </c>
      <c r="C2200" t="s">
        <v>7</v>
      </c>
      <c r="D2200" t="s">
        <v>11</v>
      </c>
      <c r="E2200" t="str">
        <f>"52.0703"</f>
        <v>52.0703</v>
      </c>
      <c r="F2200" t="s">
        <v>2091</v>
      </c>
    </row>
    <row r="2201" spans="1:6" x14ac:dyDescent="0.25">
      <c r="C2201" t="s">
        <v>26</v>
      </c>
      <c r="D2201" t="s">
        <v>11</v>
      </c>
      <c r="E2201" t="str">
        <f>"52.0704"</f>
        <v>52.0704</v>
      </c>
      <c r="F2201" t="s">
        <v>2092</v>
      </c>
    </row>
    <row r="2202" spans="1:6" x14ac:dyDescent="0.25">
      <c r="A2202" t="str">
        <f>"52.0799"</f>
        <v>52.0799</v>
      </c>
      <c r="B2202" t="s">
        <v>2093</v>
      </c>
      <c r="C2202" t="s">
        <v>7</v>
      </c>
      <c r="D2202" t="s">
        <v>11</v>
      </c>
      <c r="E2202" t="str">
        <f>"52.0799"</f>
        <v>52.0799</v>
      </c>
      <c r="F2202" t="s">
        <v>2093</v>
      </c>
    </row>
    <row r="2203" spans="1:6" x14ac:dyDescent="0.25">
      <c r="A2203" t="str">
        <f>"52.08"</f>
        <v>52.08</v>
      </c>
      <c r="B2203" t="s">
        <v>2094</v>
      </c>
      <c r="C2203" t="s">
        <v>7</v>
      </c>
      <c r="D2203" t="s">
        <v>11</v>
      </c>
      <c r="E2203" t="str">
        <f>"52.08"</f>
        <v>52.08</v>
      </c>
      <c r="F2203" t="s">
        <v>2094</v>
      </c>
    </row>
    <row r="2204" spans="1:6" x14ac:dyDescent="0.25">
      <c r="A2204" t="str">
        <f>"52.0801"</f>
        <v>52.0801</v>
      </c>
      <c r="B2204" t="s">
        <v>2095</v>
      </c>
      <c r="C2204" t="s">
        <v>7</v>
      </c>
      <c r="D2204" t="s">
        <v>11</v>
      </c>
      <c r="E2204" t="str">
        <f>"52.0801"</f>
        <v>52.0801</v>
      </c>
      <c r="F2204" t="s">
        <v>2095</v>
      </c>
    </row>
    <row r="2205" spans="1:6" x14ac:dyDescent="0.25">
      <c r="A2205" t="str">
        <f>"52.0803"</f>
        <v>52.0803</v>
      </c>
      <c r="B2205" t="s">
        <v>2096</v>
      </c>
      <c r="C2205" t="s">
        <v>7</v>
      </c>
      <c r="D2205" t="s">
        <v>11</v>
      </c>
      <c r="E2205" t="str">
        <f>"52.0803"</f>
        <v>52.0803</v>
      </c>
      <c r="F2205" t="s">
        <v>2096</v>
      </c>
    </row>
    <row r="2206" spans="1:6" x14ac:dyDescent="0.25">
      <c r="A2206" t="str">
        <f>"52.0804"</f>
        <v>52.0804</v>
      </c>
      <c r="B2206" t="s">
        <v>2097</v>
      </c>
      <c r="C2206" t="s">
        <v>7</v>
      </c>
      <c r="D2206" t="s">
        <v>11</v>
      </c>
      <c r="E2206" t="str">
        <f>"52.0804"</f>
        <v>52.0804</v>
      </c>
      <c r="F2206" t="s">
        <v>2097</v>
      </c>
    </row>
    <row r="2207" spans="1:6" x14ac:dyDescent="0.25">
      <c r="A2207" t="str">
        <f>"52.0806"</f>
        <v>52.0806</v>
      </c>
      <c r="B2207" t="s">
        <v>2098</v>
      </c>
      <c r="C2207" t="s">
        <v>7</v>
      </c>
      <c r="D2207" t="s">
        <v>11</v>
      </c>
      <c r="E2207" t="str">
        <f>"52.0806"</f>
        <v>52.0806</v>
      </c>
      <c r="F2207" t="s">
        <v>2098</v>
      </c>
    </row>
    <row r="2208" spans="1:6" x14ac:dyDescent="0.25">
      <c r="A2208" t="str">
        <f>"52.0807"</f>
        <v>52.0807</v>
      </c>
      <c r="B2208" t="s">
        <v>2099</v>
      </c>
      <c r="C2208" t="s">
        <v>7</v>
      </c>
      <c r="D2208" t="s">
        <v>11</v>
      </c>
      <c r="E2208" t="str">
        <f>"52.0807"</f>
        <v>52.0807</v>
      </c>
      <c r="F2208" t="s">
        <v>2099</v>
      </c>
    </row>
    <row r="2209" spans="1:6" x14ac:dyDescent="0.25">
      <c r="A2209" t="str">
        <f>"52.0808"</f>
        <v>52.0808</v>
      </c>
      <c r="B2209" t="s">
        <v>2100</v>
      </c>
      <c r="C2209" t="s">
        <v>7</v>
      </c>
      <c r="D2209" t="s">
        <v>11</v>
      </c>
      <c r="E2209" t="str">
        <f>"52.0808"</f>
        <v>52.0808</v>
      </c>
      <c r="F2209" t="s">
        <v>2100</v>
      </c>
    </row>
    <row r="2210" spans="1:6" x14ac:dyDescent="0.25">
      <c r="A2210" t="str">
        <f>"52.0809"</f>
        <v>52.0809</v>
      </c>
      <c r="B2210" t="s">
        <v>2101</v>
      </c>
      <c r="C2210" t="s">
        <v>7</v>
      </c>
      <c r="D2210" t="s">
        <v>11</v>
      </c>
      <c r="E2210" t="str">
        <f>"52.0809"</f>
        <v>52.0809</v>
      </c>
      <c r="F2210" t="s">
        <v>2101</v>
      </c>
    </row>
    <row r="2211" spans="1:6" x14ac:dyDescent="0.25">
      <c r="C2211" t="s">
        <v>26</v>
      </c>
      <c r="D2211" t="s">
        <v>11</v>
      </c>
      <c r="E2211" t="str">
        <f>"52.0810"</f>
        <v>52.0810</v>
      </c>
      <c r="F2211" t="s">
        <v>2102</v>
      </c>
    </row>
    <row r="2212" spans="1:6" x14ac:dyDescent="0.25">
      <c r="A2212" t="str">
        <f>"52.0899"</f>
        <v>52.0899</v>
      </c>
      <c r="B2212" t="s">
        <v>2103</v>
      </c>
      <c r="C2212" t="s">
        <v>7</v>
      </c>
      <c r="D2212" t="s">
        <v>11</v>
      </c>
      <c r="E2212" t="str">
        <f>"52.0899"</f>
        <v>52.0899</v>
      </c>
      <c r="F2212" t="s">
        <v>2103</v>
      </c>
    </row>
    <row r="2213" spans="1:6" x14ac:dyDescent="0.25">
      <c r="A2213" t="str">
        <f>"52.09"</f>
        <v>52.09</v>
      </c>
      <c r="B2213" t="s">
        <v>2104</v>
      </c>
      <c r="C2213" t="s">
        <v>7</v>
      </c>
      <c r="D2213" t="s">
        <v>11</v>
      </c>
      <c r="E2213" t="str">
        <f>"52.09"</f>
        <v>52.09</v>
      </c>
      <c r="F2213" t="s">
        <v>2104</v>
      </c>
    </row>
    <row r="2214" spans="1:6" x14ac:dyDescent="0.25">
      <c r="A2214" t="str">
        <f>"52.0901"</f>
        <v>52.0901</v>
      </c>
      <c r="B2214" t="s">
        <v>2105</v>
      </c>
      <c r="C2214" t="s">
        <v>7</v>
      </c>
      <c r="D2214" t="s">
        <v>11</v>
      </c>
      <c r="E2214" t="str">
        <f>"52.0901"</f>
        <v>52.0901</v>
      </c>
      <c r="F2214" t="s">
        <v>2105</v>
      </c>
    </row>
    <row r="2215" spans="1:6" x14ac:dyDescent="0.25">
      <c r="A2215" t="str">
        <f>"52.0903"</f>
        <v>52.0903</v>
      </c>
      <c r="B2215" t="s">
        <v>2106</v>
      </c>
      <c r="C2215" t="s">
        <v>7</v>
      </c>
      <c r="D2215" t="s">
        <v>11</v>
      </c>
      <c r="E2215" t="str">
        <f>"52.0903"</f>
        <v>52.0903</v>
      </c>
      <c r="F2215" t="s">
        <v>2106</v>
      </c>
    </row>
    <row r="2216" spans="1:6" x14ac:dyDescent="0.25">
      <c r="A2216" t="str">
        <f>"52.0904"</f>
        <v>52.0904</v>
      </c>
      <c r="B2216" t="s">
        <v>2107</v>
      </c>
      <c r="C2216" t="s">
        <v>7</v>
      </c>
      <c r="D2216" t="s">
        <v>11</v>
      </c>
      <c r="E2216" t="str">
        <f>"52.0904"</f>
        <v>52.0904</v>
      </c>
      <c r="F2216" t="s">
        <v>2107</v>
      </c>
    </row>
    <row r="2217" spans="1:6" x14ac:dyDescent="0.25">
      <c r="A2217" t="str">
        <f>"52.0905"</f>
        <v>52.0905</v>
      </c>
      <c r="B2217" t="s">
        <v>2108</v>
      </c>
      <c r="C2217" t="s">
        <v>7</v>
      </c>
      <c r="D2217" t="s">
        <v>11</v>
      </c>
      <c r="E2217" t="str">
        <f>"52.0905"</f>
        <v>52.0905</v>
      </c>
      <c r="F2217" t="s">
        <v>2108</v>
      </c>
    </row>
    <row r="2218" spans="1:6" x14ac:dyDescent="0.25">
      <c r="A2218" t="str">
        <f>"52.0906"</f>
        <v>52.0906</v>
      </c>
      <c r="B2218" t="s">
        <v>2109</v>
      </c>
      <c r="C2218" t="s">
        <v>7</v>
      </c>
      <c r="D2218" t="s">
        <v>11</v>
      </c>
      <c r="E2218" t="str">
        <f>"52.0906"</f>
        <v>52.0906</v>
      </c>
      <c r="F2218" t="s">
        <v>2109</v>
      </c>
    </row>
    <row r="2219" spans="1:6" x14ac:dyDescent="0.25">
      <c r="A2219" t="str">
        <f>"52.0907"</f>
        <v>52.0907</v>
      </c>
      <c r="B2219" t="s">
        <v>2110</v>
      </c>
      <c r="C2219" t="s">
        <v>7</v>
      </c>
      <c r="D2219" t="s">
        <v>11</v>
      </c>
      <c r="E2219" t="str">
        <f>"52.0907"</f>
        <v>52.0907</v>
      </c>
      <c r="F2219" t="s">
        <v>2110</v>
      </c>
    </row>
    <row r="2220" spans="1:6" x14ac:dyDescent="0.25">
      <c r="A2220" t="str">
        <f>"52.0908"</f>
        <v>52.0908</v>
      </c>
      <c r="B2220" t="s">
        <v>2111</v>
      </c>
      <c r="C2220" t="s">
        <v>7</v>
      </c>
      <c r="D2220" t="s">
        <v>8</v>
      </c>
      <c r="E2220" t="str">
        <f>"52.0908"</f>
        <v>52.0908</v>
      </c>
      <c r="F2220" t="s">
        <v>2111</v>
      </c>
    </row>
    <row r="2221" spans="1:6" x14ac:dyDescent="0.25">
      <c r="A2221" t="str">
        <f>"52.0909"</f>
        <v>52.0909</v>
      </c>
      <c r="B2221" t="s">
        <v>2112</v>
      </c>
      <c r="C2221" t="s">
        <v>7</v>
      </c>
      <c r="D2221" t="s">
        <v>11</v>
      </c>
      <c r="E2221" t="str">
        <f>"52.0909"</f>
        <v>52.0909</v>
      </c>
      <c r="F2221" t="s">
        <v>2112</v>
      </c>
    </row>
    <row r="2222" spans="1:6" x14ac:dyDescent="0.25">
      <c r="C2222" t="s">
        <v>26</v>
      </c>
      <c r="D2222" t="s">
        <v>11</v>
      </c>
      <c r="E2222" t="str">
        <f>"52.0910"</f>
        <v>52.0910</v>
      </c>
      <c r="F2222" t="s">
        <v>2113</v>
      </c>
    </row>
    <row r="2223" spans="1:6" x14ac:dyDescent="0.25">
      <c r="A2223" t="str">
        <f>"52.0999"</f>
        <v>52.0999</v>
      </c>
      <c r="B2223" t="s">
        <v>2114</v>
      </c>
      <c r="C2223" t="s">
        <v>7</v>
      </c>
      <c r="D2223" t="s">
        <v>11</v>
      </c>
      <c r="E2223" t="str">
        <f>"52.0999"</f>
        <v>52.0999</v>
      </c>
      <c r="F2223" t="s">
        <v>2114</v>
      </c>
    </row>
    <row r="2224" spans="1:6" x14ac:dyDescent="0.25">
      <c r="A2224" t="str">
        <f>"52.10"</f>
        <v>52.10</v>
      </c>
      <c r="B2224" t="s">
        <v>2115</v>
      </c>
      <c r="C2224" t="s">
        <v>7</v>
      </c>
      <c r="D2224" t="s">
        <v>11</v>
      </c>
      <c r="E2224" t="str">
        <f>"52.10"</f>
        <v>52.10</v>
      </c>
      <c r="F2224" t="s">
        <v>2115</v>
      </c>
    </row>
    <row r="2225" spans="1:6" x14ac:dyDescent="0.25">
      <c r="A2225" t="str">
        <f>"52.1001"</f>
        <v>52.1001</v>
      </c>
      <c r="B2225" t="s">
        <v>2116</v>
      </c>
      <c r="C2225" t="s">
        <v>7</v>
      </c>
      <c r="D2225" t="s">
        <v>11</v>
      </c>
      <c r="E2225" t="str">
        <f>"52.1001"</f>
        <v>52.1001</v>
      </c>
      <c r="F2225" t="s">
        <v>2116</v>
      </c>
    </row>
    <row r="2226" spans="1:6" x14ac:dyDescent="0.25">
      <c r="A2226" t="str">
        <f>"52.1002"</f>
        <v>52.1002</v>
      </c>
      <c r="B2226" t="s">
        <v>2117</v>
      </c>
      <c r="C2226" t="s">
        <v>7</v>
      </c>
      <c r="D2226" t="s">
        <v>11</v>
      </c>
      <c r="E2226" t="str">
        <f>"52.1002"</f>
        <v>52.1002</v>
      </c>
      <c r="F2226" t="s">
        <v>2117</v>
      </c>
    </row>
    <row r="2227" spans="1:6" x14ac:dyDescent="0.25">
      <c r="A2227" t="str">
        <f>"52.1003"</f>
        <v>52.1003</v>
      </c>
      <c r="B2227" t="s">
        <v>2118</v>
      </c>
      <c r="C2227" t="s">
        <v>7</v>
      </c>
      <c r="D2227" t="s">
        <v>11</v>
      </c>
      <c r="E2227" t="str">
        <f>"52.1003"</f>
        <v>52.1003</v>
      </c>
      <c r="F2227" t="s">
        <v>2118</v>
      </c>
    </row>
    <row r="2228" spans="1:6" x14ac:dyDescent="0.25">
      <c r="A2228" t="str">
        <f>"52.1004"</f>
        <v>52.1004</v>
      </c>
      <c r="B2228" t="s">
        <v>2119</v>
      </c>
      <c r="C2228" t="s">
        <v>7</v>
      </c>
      <c r="D2228" t="s">
        <v>11</v>
      </c>
      <c r="E2228" t="str">
        <f>"52.1004"</f>
        <v>52.1004</v>
      </c>
      <c r="F2228" t="s">
        <v>2119</v>
      </c>
    </row>
    <row r="2229" spans="1:6" x14ac:dyDescent="0.25">
      <c r="A2229" t="str">
        <f>"52.1005"</f>
        <v>52.1005</v>
      </c>
      <c r="B2229" t="s">
        <v>2120</v>
      </c>
      <c r="C2229" t="s">
        <v>7</v>
      </c>
      <c r="D2229" t="s">
        <v>11</v>
      </c>
      <c r="E2229" t="str">
        <f>"52.1005"</f>
        <v>52.1005</v>
      </c>
      <c r="F2229" t="s">
        <v>2120</v>
      </c>
    </row>
    <row r="2230" spans="1:6" x14ac:dyDescent="0.25">
      <c r="C2230" t="s">
        <v>26</v>
      </c>
      <c r="D2230" t="s">
        <v>11</v>
      </c>
      <c r="E2230" t="str">
        <f>"52.1006"</f>
        <v>52.1006</v>
      </c>
      <c r="F2230" t="s">
        <v>2121</v>
      </c>
    </row>
    <row r="2231" spans="1:6" x14ac:dyDescent="0.25">
      <c r="A2231" t="str">
        <f>"52.1099"</f>
        <v>52.1099</v>
      </c>
      <c r="B2231" t="s">
        <v>2122</v>
      </c>
      <c r="C2231" t="s">
        <v>7</v>
      </c>
      <c r="D2231" t="s">
        <v>11</v>
      </c>
      <c r="E2231" t="str">
        <f>"52.1099"</f>
        <v>52.1099</v>
      </c>
      <c r="F2231" t="s">
        <v>2122</v>
      </c>
    </row>
    <row r="2232" spans="1:6" x14ac:dyDescent="0.25">
      <c r="A2232" t="str">
        <f>"52.11"</f>
        <v>52.11</v>
      </c>
      <c r="B2232" t="s">
        <v>2123</v>
      </c>
      <c r="C2232" t="s">
        <v>7</v>
      </c>
      <c r="D2232" t="s">
        <v>11</v>
      </c>
      <c r="E2232" t="str">
        <f>"52.11"</f>
        <v>52.11</v>
      </c>
      <c r="F2232" t="s">
        <v>2123</v>
      </c>
    </row>
    <row r="2233" spans="1:6" x14ac:dyDescent="0.25">
      <c r="A2233" t="str">
        <f>"52.1101"</f>
        <v>52.1101</v>
      </c>
      <c r="B2233" t="s">
        <v>2124</v>
      </c>
      <c r="C2233" t="s">
        <v>7</v>
      </c>
      <c r="D2233" t="s">
        <v>11</v>
      </c>
      <c r="E2233" t="str">
        <f>"52.1101"</f>
        <v>52.1101</v>
      </c>
      <c r="F2233" t="s">
        <v>2124</v>
      </c>
    </row>
    <row r="2234" spans="1:6" x14ac:dyDescent="0.25">
      <c r="A2234" t="str">
        <f>"52.12"</f>
        <v>52.12</v>
      </c>
      <c r="B2234" t="s">
        <v>2125</v>
      </c>
      <c r="C2234" t="s">
        <v>7</v>
      </c>
      <c r="D2234" t="s">
        <v>11</v>
      </c>
      <c r="E2234" t="str">
        <f>"52.12"</f>
        <v>52.12</v>
      </c>
      <c r="F2234" t="s">
        <v>2125</v>
      </c>
    </row>
    <row r="2235" spans="1:6" x14ac:dyDescent="0.25">
      <c r="A2235" t="str">
        <f>"52.1201"</f>
        <v>52.1201</v>
      </c>
      <c r="B2235" t="s">
        <v>2126</v>
      </c>
      <c r="C2235" t="s">
        <v>7</v>
      </c>
      <c r="D2235" t="s">
        <v>11</v>
      </c>
      <c r="E2235" t="str">
        <f>"52.1201"</f>
        <v>52.1201</v>
      </c>
      <c r="F2235" t="s">
        <v>2126</v>
      </c>
    </row>
    <row r="2236" spans="1:6" x14ac:dyDescent="0.25">
      <c r="A2236" t="str">
        <f>"52.1206"</f>
        <v>52.1206</v>
      </c>
      <c r="B2236" t="s">
        <v>2127</v>
      </c>
      <c r="C2236" t="s">
        <v>7</v>
      </c>
      <c r="D2236" t="s">
        <v>11</v>
      </c>
      <c r="E2236" t="str">
        <f>"52.1206"</f>
        <v>52.1206</v>
      </c>
      <c r="F2236" t="s">
        <v>2127</v>
      </c>
    </row>
    <row r="2237" spans="1:6" x14ac:dyDescent="0.25">
      <c r="A2237" t="str">
        <f>"52.1207"</f>
        <v>52.1207</v>
      </c>
      <c r="B2237" t="s">
        <v>2128</v>
      </c>
      <c r="C2237" t="s">
        <v>7</v>
      </c>
      <c r="D2237" t="s">
        <v>11</v>
      </c>
      <c r="E2237" t="str">
        <f>"52.1207"</f>
        <v>52.1207</v>
      </c>
      <c r="F2237" t="s">
        <v>2128</v>
      </c>
    </row>
    <row r="2238" spans="1:6" x14ac:dyDescent="0.25">
      <c r="A2238" t="str">
        <f>"52.1299"</f>
        <v>52.1299</v>
      </c>
      <c r="B2238" t="s">
        <v>2129</v>
      </c>
      <c r="C2238" t="s">
        <v>7</v>
      </c>
      <c r="D2238" t="s">
        <v>11</v>
      </c>
      <c r="E2238" t="str">
        <f>"52.1299"</f>
        <v>52.1299</v>
      </c>
      <c r="F2238" t="s">
        <v>2129</v>
      </c>
    </row>
    <row r="2239" spans="1:6" x14ac:dyDescent="0.25">
      <c r="A2239" t="str">
        <f>"52.13"</f>
        <v>52.13</v>
      </c>
      <c r="B2239" t="s">
        <v>2130</v>
      </c>
      <c r="C2239" t="s">
        <v>7</v>
      </c>
      <c r="D2239" t="s">
        <v>11</v>
      </c>
      <c r="E2239" t="str">
        <f>"52.13"</f>
        <v>52.13</v>
      </c>
      <c r="F2239" t="s">
        <v>2130</v>
      </c>
    </row>
    <row r="2240" spans="1:6" x14ac:dyDescent="0.25">
      <c r="A2240" t="str">
        <f>"52.1301"</f>
        <v>52.1301</v>
      </c>
      <c r="B2240" t="s">
        <v>2131</v>
      </c>
      <c r="C2240" t="s">
        <v>7</v>
      </c>
      <c r="D2240" t="s">
        <v>11</v>
      </c>
      <c r="E2240" t="str">
        <f>"52.1301"</f>
        <v>52.1301</v>
      </c>
      <c r="F2240" t="s">
        <v>2131</v>
      </c>
    </row>
    <row r="2241" spans="1:6" x14ac:dyDescent="0.25">
      <c r="A2241" t="str">
        <f>"52.1302"</f>
        <v>52.1302</v>
      </c>
      <c r="B2241" t="s">
        <v>2132</v>
      </c>
      <c r="C2241" t="s">
        <v>7</v>
      </c>
      <c r="D2241" t="s">
        <v>11</v>
      </c>
      <c r="E2241" t="str">
        <f>"52.1302"</f>
        <v>52.1302</v>
      </c>
      <c r="F2241" t="s">
        <v>2132</v>
      </c>
    </row>
    <row r="2242" spans="1:6" x14ac:dyDescent="0.25">
      <c r="A2242" t="str">
        <f>"52.1304"</f>
        <v>52.1304</v>
      </c>
      <c r="B2242" t="s">
        <v>2133</v>
      </c>
      <c r="C2242" t="s">
        <v>7</v>
      </c>
      <c r="D2242" t="s">
        <v>11</v>
      </c>
      <c r="E2242" t="str">
        <f>"52.1304"</f>
        <v>52.1304</v>
      </c>
      <c r="F2242" t="s">
        <v>2133</v>
      </c>
    </row>
    <row r="2243" spans="1:6" x14ac:dyDescent="0.25">
      <c r="A2243" t="str">
        <f>"52.1399"</f>
        <v>52.1399</v>
      </c>
      <c r="B2243" t="s">
        <v>2134</v>
      </c>
      <c r="C2243" t="s">
        <v>7</v>
      </c>
      <c r="D2243" t="s">
        <v>11</v>
      </c>
      <c r="E2243" t="str">
        <f>"52.1399"</f>
        <v>52.1399</v>
      </c>
      <c r="F2243" t="s">
        <v>2134</v>
      </c>
    </row>
    <row r="2244" spans="1:6" x14ac:dyDescent="0.25">
      <c r="A2244" t="str">
        <f>"52.14"</f>
        <v>52.14</v>
      </c>
      <c r="B2244" t="s">
        <v>2135</v>
      </c>
      <c r="C2244" t="s">
        <v>7</v>
      </c>
      <c r="D2244" t="s">
        <v>11</v>
      </c>
      <c r="E2244" t="str">
        <f>"52.14"</f>
        <v>52.14</v>
      </c>
      <c r="F2244" t="s">
        <v>2135</v>
      </c>
    </row>
    <row r="2245" spans="1:6" x14ac:dyDescent="0.25">
      <c r="A2245" t="str">
        <f>"52.1401"</f>
        <v>52.1401</v>
      </c>
      <c r="B2245" t="s">
        <v>2136</v>
      </c>
      <c r="C2245" t="s">
        <v>7</v>
      </c>
      <c r="D2245" t="s">
        <v>11</v>
      </c>
      <c r="E2245" t="str">
        <f>"52.1401"</f>
        <v>52.1401</v>
      </c>
      <c r="F2245" t="s">
        <v>2136</v>
      </c>
    </row>
    <row r="2246" spans="1:6" x14ac:dyDescent="0.25">
      <c r="A2246" t="str">
        <f>"52.1402"</f>
        <v>52.1402</v>
      </c>
      <c r="B2246" t="s">
        <v>2137</v>
      </c>
      <c r="C2246" t="s">
        <v>7</v>
      </c>
      <c r="D2246" t="s">
        <v>11</v>
      </c>
      <c r="E2246" t="str">
        <f>"52.1402"</f>
        <v>52.1402</v>
      </c>
      <c r="F2246" t="s">
        <v>2137</v>
      </c>
    </row>
    <row r="2247" spans="1:6" x14ac:dyDescent="0.25">
      <c r="A2247" t="str">
        <f>"52.1403"</f>
        <v>52.1403</v>
      </c>
      <c r="B2247" t="s">
        <v>2138</v>
      </c>
      <c r="C2247" t="s">
        <v>7</v>
      </c>
      <c r="D2247" t="s">
        <v>11</v>
      </c>
      <c r="E2247" t="str">
        <f>"52.1403"</f>
        <v>52.1403</v>
      </c>
      <c r="F2247" t="s">
        <v>2138</v>
      </c>
    </row>
    <row r="2248" spans="1:6" x14ac:dyDescent="0.25">
      <c r="C2248" t="s">
        <v>26</v>
      </c>
      <c r="D2248" t="s">
        <v>11</v>
      </c>
      <c r="E2248" t="str">
        <f>"52.1404"</f>
        <v>52.1404</v>
      </c>
      <c r="F2248" t="s">
        <v>2139</v>
      </c>
    </row>
    <row r="2249" spans="1:6" x14ac:dyDescent="0.25">
      <c r="A2249" t="str">
        <f>"52.1499"</f>
        <v>52.1499</v>
      </c>
      <c r="B2249" t="s">
        <v>2140</v>
      </c>
      <c r="C2249" t="s">
        <v>7</v>
      </c>
      <c r="D2249" t="s">
        <v>11</v>
      </c>
      <c r="E2249" t="str">
        <f>"52.1499"</f>
        <v>52.1499</v>
      </c>
      <c r="F2249" t="s">
        <v>2140</v>
      </c>
    </row>
    <row r="2250" spans="1:6" x14ac:dyDescent="0.25">
      <c r="A2250" t="str">
        <f>"52.15"</f>
        <v>52.15</v>
      </c>
      <c r="B2250" t="s">
        <v>2141</v>
      </c>
      <c r="C2250" t="s">
        <v>7</v>
      </c>
      <c r="D2250" t="s">
        <v>11</v>
      </c>
      <c r="E2250" t="str">
        <f>"52.15"</f>
        <v>52.15</v>
      </c>
      <c r="F2250" t="s">
        <v>2141</v>
      </c>
    </row>
    <row r="2251" spans="1:6" x14ac:dyDescent="0.25">
      <c r="A2251" t="str">
        <f>"52.1501"</f>
        <v>52.1501</v>
      </c>
      <c r="B2251" t="s">
        <v>2141</v>
      </c>
      <c r="C2251" t="s">
        <v>7</v>
      </c>
      <c r="D2251" t="s">
        <v>11</v>
      </c>
      <c r="E2251" t="str">
        <f>"52.1501"</f>
        <v>52.1501</v>
      </c>
      <c r="F2251" t="s">
        <v>2141</v>
      </c>
    </row>
    <row r="2252" spans="1:6" x14ac:dyDescent="0.25">
      <c r="A2252" t="str">
        <f>"52.16"</f>
        <v>52.16</v>
      </c>
      <c r="B2252" t="s">
        <v>2142</v>
      </c>
      <c r="C2252" t="s">
        <v>7</v>
      </c>
      <c r="D2252" t="s">
        <v>11</v>
      </c>
      <c r="E2252" t="str">
        <f>"52.16"</f>
        <v>52.16</v>
      </c>
      <c r="F2252" t="s">
        <v>2142</v>
      </c>
    </row>
    <row r="2253" spans="1:6" x14ac:dyDescent="0.25">
      <c r="A2253" t="str">
        <f>"52.1601"</f>
        <v>52.1601</v>
      </c>
      <c r="B2253" t="s">
        <v>2142</v>
      </c>
      <c r="C2253" t="s">
        <v>7</v>
      </c>
      <c r="D2253" t="s">
        <v>11</v>
      </c>
      <c r="E2253" t="str">
        <f>"52.1601"</f>
        <v>52.1601</v>
      </c>
      <c r="F2253" t="s">
        <v>2142</v>
      </c>
    </row>
    <row r="2254" spans="1:6" x14ac:dyDescent="0.25">
      <c r="A2254" t="str">
        <f>"52.17"</f>
        <v>52.17</v>
      </c>
      <c r="B2254" t="s">
        <v>2143</v>
      </c>
      <c r="C2254" t="s">
        <v>7</v>
      </c>
      <c r="D2254" t="s">
        <v>11</v>
      </c>
      <c r="E2254" t="str">
        <f>"52.17"</f>
        <v>52.17</v>
      </c>
      <c r="F2254" t="s">
        <v>2143</v>
      </c>
    </row>
    <row r="2255" spans="1:6" x14ac:dyDescent="0.25">
      <c r="A2255" t="str">
        <f>"52.1701"</f>
        <v>52.1701</v>
      </c>
      <c r="B2255" t="s">
        <v>2143</v>
      </c>
      <c r="C2255" t="s">
        <v>7</v>
      </c>
      <c r="D2255" t="s">
        <v>11</v>
      </c>
      <c r="E2255" t="str">
        <f>"52.1701"</f>
        <v>52.1701</v>
      </c>
      <c r="F2255" t="s">
        <v>2143</v>
      </c>
    </row>
    <row r="2256" spans="1:6" x14ac:dyDescent="0.25">
      <c r="A2256" t="str">
        <f>"52.18"</f>
        <v>52.18</v>
      </c>
      <c r="B2256" t="s">
        <v>2144</v>
      </c>
      <c r="C2256" t="s">
        <v>7</v>
      </c>
      <c r="D2256" t="s">
        <v>11</v>
      </c>
      <c r="E2256" t="str">
        <f>"52.18"</f>
        <v>52.18</v>
      </c>
      <c r="F2256" t="s">
        <v>2144</v>
      </c>
    </row>
    <row r="2257" spans="1:6" x14ac:dyDescent="0.25">
      <c r="A2257" t="str">
        <f>"52.1801"</f>
        <v>52.1801</v>
      </c>
      <c r="B2257" t="s">
        <v>2145</v>
      </c>
      <c r="C2257" t="s">
        <v>7</v>
      </c>
      <c r="D2257" t="s">
        <v>11</v>
      </c>
      <c r="E2257" t="str">
        <f>"52.1801"</f>
        <v>52.1801</v>
      </c>
      <c r="F2257" t="s">
        <v>2145</v>
      </c>
    </row>
    <row r="2258" spans="1:6" x14ac:dyDescent="0.25">
      <c r="A2258" t="str">
        <f>"52.1802"</f>
        <v>52.1802</v>
      </c>
      <c r="B2258" t="s">
        <v>2146</v>
      </c>
      <c r="C2258" t="s">
        <v>7</v>
      </c>
      <c r="D2258" t="s">
        <v>11</v>
      </c>
      <c r="E2258" t="str">
        <f>"52.1802"</f>
        <v>52.1802</v>
      </c>
      <c r="F2258" t="s">
        <v>2146</v>
      </c>
    </row>
    <row r="2259" spans="1:6" x14ac:dyDescent="0.25">
      <c r="A2259" t="str">
        <f>"52.1803"</f>
        <v>52.1803</v>
      </c>
      <c r="B2259" t="s">
        <v>2147</v>
      </c>
      <c r="C2259" t="s">
        <v>7</v>
      </c>
      <c r="D2259" t="s">
        <v>11</v>
      </c>
      <c r="E2259" t="str">
        <f>"52.1803"</f>
        <v>52.1803</v>
      </c>
      <c r="F2259" t="s">
        <v>2147</v>
      </c>
    </row>
    <row r="2260" spans="1:6" x14ac:dyDescent="0.25">
      <c r="A2260" t="str">
        <f>"52.1804"</f>
        <v>52.1804</v>
      </c>
      <c r="B2260" t="s">
        <v>2148</v>
      </c>
      <c r="C2260" t="s">
        <v>7</v>
      </c>
      <c r="D2260" t="s">
        <v>11</v>
      </c>
      <c r="E2260" t="str">
        <f>"52.1804"</f>
        <v>52.1804</v>
      </c>
      <c r="F2260" t="s">
        <v>2148</v>
      </c>
    </row>
    <row r="2261" spans="1:6" x14ac:dyDescent="0.25">
      <c r="C2261" t="s">
        <v>26</v>
      </c>
      <c r="D2261" t="s">
        <v>11</v>
      </c>
      <c r="E2261" t="str">
        <f>"52.1880"</f>
        <v>52.1880</v>
      </c>
      <c r="F2261" t="s">
        <v>42</v>
      </c>
    </row>
    <row r="2262" spans="1:6" x14ac:dyDescent="0.25">
      <c r="A2262" t="str">
        <f>"52.1899"</f>
        <v>52.1899</v>
      </c>
      <c r="B2262" t="s">
        <v>2149</v>
      </c>
      <c r="C2262" t="s">
        <v>7</v>
      </c>
      <c r="D2262" t="s">
        <v>11</v>
      </c>
      <c r="E2262" t="str">
        <f>"52.1899"</f>
        <v>52.1899</v>
      </c>
      <c r="F2262" t="s">
        <v>2149</v>
      </c>
    </row>
    <row r="2263" spans="1:6" x14ac:dyDescent="0.25">
      <c r="A2263" t="str">
        <f>"52.19"</f>
        <v>52.19</v>
      </c>
      <c r="B2263" t="s">
        <v>2150</v>
      </c>
      <c r="C2263" t="s">
        <v>7</v>
      </c>
      <c r="D2263" t="s">
        <v>11</v>
      </c>
      <c r="E2263" t="str">
        <f>"52.19"</f>
        <v>52.19</v>
      </c>
      <c r="F2263" t="s">
        <v>2150</v>
      </c>
    </row>
    <row r="2264" spans="1:6" x14ac:dyDescent="0.25">
      <c r="A2264" t="str">
        <f>"52.1901"</f>
        <v>52.1901</v>
      </c>
      <c r="B2264" t="s">
        <v>2151</v>
      </c>
      <c r="C2264" t="s">
        <v>7</v>
      </c>
      <c r="D2264" t="s">
        <v>11</v>
      </c>
      <c r="E2264" t="str">
        <f>"52.1901"</f>
        <v>52.1901</v>
      </c>
      <c r="F2264" t="s">
        <v>2151</v>
      </c>
    </row>
    <row r="2265" spans="1:6" x14ac:dyDescent="0.25">
      <c r="A2265" t="str">
        <f>"52.1902"</f>
        <v>52.1902</v>
      </c>
      <c r="B2265" t="s">
        <v>2152</v>
      </c>
      <c r="C2265" t="s">
        <v>7</v>
      </c>
      <c r="D2265" t="s">
        <v>11</v>
      </c>
      <c r="E2265" t="str">
        <f>"52.1902"</f>
        <v>52.1902</v>
      </c>
      <c r="F2265" t="s">
        <v>2152</v>
      </c>
    </row>
    <row r="2266" spans="1:6" x14ac:dyDescent="0.25">
      <c r="A2266" t="str">
        <f>"52.1903"</f>
        <v>52.1903</v>
      </c>
      <c r="B2266" t="s">
        <v>2153</v>
      </c>
      <c r="C2266" t="s">
        <v>7</v>
      </c>
      <c r="D2266" t="s">
        <v>11</v>
      </c>
      <c r="E2266" t="str">
        <f>"52.1903"</f>
        <v>52.1903</v>
      </c>
      <c r="F2266" t="s">
        <v>2153</v>
      </c>
    </row>
    <row r="2267" spans="1:6" x14ac:dyDescent="0.25">
      <c r="A2267" t="str">
        <f>"52.1904"</f>
        <v>52.1904</v>
      </c>
      <c r="B2267" t="s">
        <v>2154</v>
      </c>
      <c r="C2267" t="s">
        <v>7</v>
      </c>
      <c r="D2267" t="s">
        <v>11</v>
      </c>
      <c r="E2267" t="str">
        <f>"52.1904"</f>
        <v>52.1904</v>
      </c>
      <c r="F2267" t="s">
        <v>2154</v>
      </c>
    </row>
    <row r="2268" spans="1:6" x14ac:dyDescent="0.25">
      <c r="A2268" t="str">
        <f>"52.1905"</f>
        <v>52.1905</v>
      </c>
      <c r="B2268" t="s">
        <v>2155</v>
      </c>
      <c r="C2268" t="s">
        <v>7</v>
      </c>
      <c r="D2268" t="s">
        <v>11</v>
      </c>
      <c r="E2268" t="str">
        <f>"52.1905"</f>
        <v>52.1905</v>
      </c>
      <c r="F2268" t="s">
        <v>2155</v>
      </c>
    </row>
    <row r="2269" spans="1:6" x14ac:dyDescent="0.25">
      <c r="A2269" t="str">
        <f>"52.1906"</f>
        <v>52.1906</v>
      </c>
      <c r="B2269" t="s">
        <v>2156</v>
      </c>
      <c r="C2269" t="s">
        <v>7</v>
      </c>
      <c r="D2269" t="s">
        <v>11</v>
      </c>
      <c r="E2269" t="str">
        <f>"52.1906"</f>
        <v>52.1906</v>
      </c>
      <c r="F2269" t="s">
        <v>2156</v>
      </c>
    </row>
    <row r="2270" spans="1:6" x14ac:dyDescent="0.25">
      <c r="A2270" t="str">
        <f>"52.1907"</f>
        <v>52.1907</v>
      </c>
      <c r="B2270" t="s">
        <v>2157</v>
      </c>
      <c r="C2270" t="s">
        <v>7</v>
      </c>
      <c r="D2270" t="s">
        <v>11</v>
      </c>
      <c r="E2270" t="str">
        <f>"52.1907"</f>
        <v>52.1907</v>
      </c>
      <c r="F2270" t="s">
        <v>2157</v>
      </c>
    </row>
    <row r="2271" spans="1:6" x14ac:dyDescent="0.25">
      <c r="A2271" t="str">
        <f>"52.1908"</f>
        <v>52.1908</v>
      </c>
      <c r="B2271" t="s">
        <v>2158</v>
      </c>
      <c r="C2271" t="s">
        <v>7</v>
      </c>
      <c r="D2271" t="s">
        <v>11</v>
      </c>
      <c r="E2271" t="str">
        <f>"52.1908"</f>
        <v>52.1908</v>
      </c>
      <c r="F2271" t="s">
        <v>2158</v>
      </c>
    </row>
    <row r="2272" spans="1:6" x14ac:dyDescent="0.25">
      <c r="A2272" t="str">
        <f>"52.1909"</f>
        <v>52.1909</v>
      </c>
      <c r="B2272" t="s">
        <v>2159</v>
      </c>
      <c r="C2272" t="s">
        <v>7</v>
      </c>
      <c r="D2272" t="s">
        <v>11</v>
      </c>
      <c r="E2272" t="str">
        <f>"52.1909"</f>
        <v>52.1909</v>
      </c>
      <c r="F2272" t="s">
        <v>2159</v>
      </c>
    </row>
    <row r="2273" spans="1:6" x14ac:dyDescent="0.25">
      <c r="A2273" t="str">
        <f>"52.1910"</f>
        <v>52.1910</v>
      </c>
      <c r="B2273" t="s">
        <v>2160</v>
      </c>
      <c r="C2273" t="s">
        <v>7</v>
      </c>
      <c r="D2273" t="s">
        <v>11</v>
      </c>
      <c r="E2273" t="str">
        <f>"52.1910"</f>
        <v>52.1910</v>
      </c>
      <c r="F2273" t="s">
        <v>2160</v>
      </c>
    </row>
    <row r="2274" spans="1:6" x14ac:dyDescent="0.25">
      <c r="C2274" t="s">
        <v>26</v>
      </c>
      <c r="D2274" t="s">
        <v>11</v>
      </c>
      <c r="E2274" t="str">
        <f>"52.1980"</f>
        <v>52.1980</v>
      </c>
      <c r="F2274" t="s">
        <v>42</v>
      </c>
    </row>
    <row r="2275" spans="1:6" x14ac:dyDescent="0.25">
      <c r="A2275" t="str">
        <f>"52.1999"</f>
        <v>52.1999</v>
      </c>
      <c r="B2275" t="s">
        <v>2161</v>
      </c>
      <c r="C2275" t="s">
        <v>7</v>
      </c>
      <c r="D2275" t="s">
        <v>11</v>
      </c>
      <c r="E2275" t="str">
        <f>"52.1999"</f>
        <v>52.1999</v>
      </c>
      <c r="F2275" t="s">
        <v>2161</v>
      </c>
    </row>
    <row r="2276" spans="1:6" x14ac:dyDescent="0.25">
      <c r="A2276" t="str">
        <f>"52.20"</f>
        <v>52.20</v>
      </c>
      <c r="B2276" t="s">
        <v>2162</v>
      </c>
      <c r="C2276" t="s">
        <v>7</v>
      </c>
      <c r="D2276" t="s">
        <v>11</v>
      </c>
      <c r="E2276" t="str">
        <f>"52.20"</f>
        <v>52.20</v>
      </c>
      <c r="F2276" t="s">
        <v>2162</v>
      </c>
    </row>
    <row r="2277" spans="1:6" x14ac:dyDescent="0.25">
      <c r="A2277" t="str">
        <f>"52.2001"</f>
        <v>52.2001</v>
      </c>
      <c r="B2277" t="s">
        <v>2162</v>
      </c>
      <c r="C2277" t="s">
        <v>7</v>
      </c>
      <c r="D2277" t="s">
        <v>8</v>
      </c>
      <c r="E2277" t="str">
        <f>"52.2001"</f>
        <v>52.2001</v>
      </c>
      <c r="F2277" t="s">
        <v>2163</v>
      </c>
    </row>
    <row r="2278" spans="1:6" x14ac:dyDescent="0.25">
      <c r="C2278" t="s">
        <v>26</v>
      </c>
      <c r="D2278" t="s">
        <v>11</v>
      </c>
      <c r="E2278" t="str">
        <f>"52.2002"</f>
        <v>52.2002</v>
      </c>
      <c r="F2278" t="s">
        <v>2164</v>
      </c>
    </row>
    <row r="2279" spans="1:6" x14ac:dyDescent="0.25">
      <c r="C2279" t="s">
        <v>26</v>
      </c>
      <c r="D2279" t="s">
        <v>11</v>
      </c>
      <c r="E2279" t="str">
        <f>"52.2099"</f>
        <v>52.2099</v>
      </c>
      <c r="F2279" t="s">
        <v>2165</v>
      </c>
    </row>
    <row r="2280" spans="1:6" x14ac:dyDescent="0.25">
      <c r="A2280" t="str">
        <f>"52.21"</f>
        <v>52.21</v>
      </c>
      <c r="B2280" t="s">
        <v>2166</v>
      </c>
      <c r="C2280" t="s">
        <v>7</v>
      </c>
      <c r="D2280" t="s">
        <v>11</v>
      </c>
      <c r="E2280" t="str">
        <f>"52.21"</f>
        <v>52.21</v>
      </c>
      <c r="F2280" t="s">
        <v>2166</v>
      </c>
    </row>
    <row r="2281" spans="1:6" x14ac:dyDescent="0.25">
      <c r="A2281" t="str">
        <f>"52.2101"</f>
        <v>52.2101</v>
      </c>
      <c r="B2281" t="s">
        <v>2166</v>
      </c>
      <c r="C2281" t="s">
        <v>7</v>
      </c>
      <c r="D2281" t="s">
        <v>11</v>
      </c>
      <c r="E2281" t="str">
        <f>"52.2101"</f>
        <v>52.2101</v>
      </c>
      <c r="F2281" t="s">
        <v>2166</v>
      </c>
    </row>
    <row r="2282" spans="1:6" x14ac:dyDescent="0.25">
      <c r="A2282" t="str">
        <f>"52.99"</f>
        <v>52.99</v>
      </c>
      <c r="B2282" t="s">
        <v>2167</v>
      </c>
      <c r="C2282" t="s">
        <v>7</v>
      </c>
      <c r="D2282" t="s">
        <v>11</v>
      </c>
      <c r="E2282" t="str">
        <f>"52.99"</f>
        <v>52.99</v>
      </c>
      <c r="F2282" t="s">
        <v>2167</v>
      </c>
    </row>
    <row r="2283" spans="1:6" x14ac:dyDescent="0.25">
      <c r="A2283" t="str">
        <f>"52.9999"</f>
        <v>52.9999</v>
      </c>
      <c r="B2283" t="s">
        <v>2167</v>
      </c>
      <c r="C2283" t="s">
        <v>7</v>
      </c>
      <c r="D2283" t="s">
        <v>11</v>
      </c>
      <c r="E2283" t="str">
        <f>"52.9999"</f>
        <v>52.9999</v>
      </c>
      <c r="F2283" t="s">
        <v>2167</v>
      </c>
    </row>
    <row r="2284" spans="1:6" x14ac:dyDescent="0.25">
      <c r="A2284" t="str">
        <f>"53"</f>
        <v>53</v>
      </c>
      <c r="B2284" t="s">
        <v>2168</v>
      </c>
      <c r="C2284" t="s">
        <v>7</v>
      </c>
      <c r="D2284" t="s">
        <v>11</v>
      </c>
      <c r="E2284" t="str">
        <f>"53"</f>
        <v>53</v>
      </c>
      <c r="F2284" t="s">
        <v>2168</v>
      </c>
    </row>
    <row r="2285" spans="1:6" x14ac:dyDescent="0.25">
      <c r="A2285" t="str">
        <f>"53.01"</f>
        <v>53.01</v>
      </c>
      <c r="B2285" t="s">
        <v>2169</v>
      </c>
      <c r="C2285" t="s">
        <v>7</v>
      </c>
      <c r="D2285" t="s">
        <v>11</v>
      </c>
      <c r="E2285" t="str">
        <f>"53.01"</f>
        <v>53.01</v>
      </c>
      <c r="F2285" t="s">
        <v>2169</v>
      </c>
    </row>
    <row r="2286" spans="1:6" x14ac:dyDescent="0.25">
      <c r="A2286" t="str">
        <f>"53.0101"</f>
        <v>53.0101</v>
      </c>
      <c r="B2286" t="s">
        <v>2170</v>
      </c>
      <c r="C2286" t="s">
        <v>7</v>
      </c>
      <c r="D2286" t="s">
        <v>11</v>
      </c>
      <c r="E2286" t="str">
        <f>"53.0101"</f>
        <v>53.0101</v>
      </c>
      <c r="F2286" t="s">
        <v>2170</v>
      </c>
    </row>
    <row r="2287" spans="1:6" x14ac:dyDescent="0.25">
      <c r="A2287" t="str">
        <f>"53.0102"</f>
        <v>53.0102</v>
      </c>
      <c r="B2287" t="s">
        <v>2171</v>
      </c>
      <c r="C2287" t="s">
        <v>7</v>
      </c>
      <c r="D2287" t="s">
        <v>11</v>
      </c>
      <c r="E2287" t="str">
        <f>"53.0102"</f>
        <v>53.0102</v>
      </c>
      <c r="F2287" t="s">
        <v>2171</v>
      </c>
    </row>
    <row r="2288" spans="1:6" x14ac:dyDescent="0.25">
      <c r="A2288" t="str">
        <f>"53.0103"</f>
        <v>53.0103</v>
      </c>
      <c r="B2288" t="s">
        <v>2172</v>
      </c>
      <c r="C2288" t="s">
        <v>7</v>
      </c>
      <c r="D2288" t="s">
        <v>11</v>
      </c>
      <c r="E2288" t="str">
        <f>"53.0103"</f>
        <v>53.0103</v>
      </c>
      <c r="F2288" t="s">
        <v>2172</v>
      </c>
    </row>
    <row r="2289" spans="1:6" x14ac:dyDescent="0.25">
      <c r="A2289" t="str">
        <f>"53.0104"</f>
        <v>53.0104</v>
      </c>
      <c r="B2289" t="s">
        <v>2173</v>
      </c>
      <c r="C2289" t="s">
        <v>7</v>
      </c>
      <c r="D2289" t="s">
        <v>11</v>
      </c>
      <c r="E2289" t="str">
        <f>"53.0104"</f>
        <v>53.0104</v>
      </c>
      <c r="F2289" t="s">
        <v>2173</v>
      </c>
    </row>
    <row r="2290" spans="1:6" x14ac:dyDescent="0.25">
      <c r="A2290" t="str">
        <f>"53.0105"</f>
        <v>53.0105</v>
      </c>
      <c r="B2290" t="s">
        <v>2174</v>
      </c>
      <c r="C2290" t="s">
        <v>7</v>
      </c>
      <c r="D2290" t="s">
        <v>11</v>
      </c>
      <c r="E2290" t="str">
        <f>"53.0105"</f>
        <v>53.0105</v>
      </c>
      <c r="F2290" t="s">
        <v>2174</v>
      </c>
    </row>
    <row r="2291" spans="1:6" x14ac:dyDescent="0.25">
      <c r="A2291" t="str">
        <f>"53.0199"</f>
        <v>53.0199</v>
      </c>
      <c r="B2291" t="s">
        <v>2175</v>
      </c>
      <c r="C2291" t="s">
        <v>7</v>
      </c>
      <c r="D2291" t="s">
        <v>11</v>
      </c>
      <c r="E2291" t="str">
        <f>"53.0199"</f>
        <v>53.0199</v>
      </c>
      <c r="F2291" t="s">
        <v>2175</v>
      </c>
    </row>
    <row r="2292" spans="1:6" x14ac:dyDescent="0.25">
      <c r="A2292" t="str">
        <f>"53.02"</f>
        <v>53.02</v>
      </c>
      <c r="B2292" t="s">
        <v>2176</v>
      </c>
      <c r="C2292" t="s">
        <v>7</v>
      </c>
      <c r="D2292" t="s">
        <v>11</v>
      </c>
      <c r="E2292" t="str">
        <f>"53.02"</f>
        <v>53.02</v>
      </c>
      <c r="F2292" t="s">
        <v>2176</v>
      </c>
    </row>
    <row r="2293" spans="1:6" x14ac:dyDescent="0.25">
      <c r="A2293" t="str">
        <f>"53.0201"</f>
        <v>53.0201</v>
      </c>
      <c r="B2293" t="s">
        <v>2177</v>
      </c>
      <c r="C2293" t="s">
        <v>7</v>
      </c>
      <c r="D2293" t="s">
        <v>11</v>
      </c>
      <c r="E2293" t="str">
        <f>"53.0201"</f>
        <v>53.0201</v>
      </c>
      <c r="F2293" t="s">
        <v>2177</v>
      </c>
    </row>
    <row r="2294" spans="1:6" x14ac:dyDescent="0.25">
      <c r="A2294" t="str">
        <f>"53.0202"</f>
        <v>53.0202</v>
      </c>
      <c r="B2294" t="s">
        <v>2178</v>
      </c>
      <c r="C2294" t="s">
        <v>7</v>
      </c>
      <c r="D2294" t="s">
        <v>11</v>
      </c>
      <c r="E2294" t="str">
        <f>"53.0202"</f>
        <v>53.0202</v>
      </c>
      <c r="F2294" t="s">
        <v>2178</v>
      </c>
    </row>
    <row r="2295" spans="1:6" x14ac:dyDescent="0.25">
      <c r="A2295" t="str">
        <f>"53.0203"</f>
        <v>53.0203</v>
      </c>
      <c r="B2295" t="s">
        <v>2179</v>
      </c>
      <c r="C2295" t="s">
        <v>7</v>
      </c>
      <c r="D2295" t="s">
        <v>11</v>
      </c>
      <c r="E2295" t="str">
        <f>"53.0203"</f>
        <v>53.0203</v>
      </c>
      <c r="F2295" t="s">
        <v>2179</v>
      </c>
    </row>
    <row r="2296" spans="1:6" x14ac:dyDescent="0.25">
      <c r="A2296" t="str">
        <f>"53.0299"</f>
        <v>53.0299</v>
      </c>
      <c r="B2296" t="s">
        <v>2180</v>
      </c>
      <c r="C2296" t="s">
        <v>7</v>
      </c>
      <c r="D2296" t="s">
        <v>11</v>
      </c>
      <c r="E2296" t="str">
        <f>"53.0299"</f>
        <v>53.0299</v>
      </c>
      <c r="F2296" t="s">
        <v>2180</v>
      </c>
    </row>
    <row r="2297" spans="1:6" x14ac:dyDescent="0.25">
      <c r="A2297" t="str">
        <f>"54"</f>
        <v>54</v>
      </c>
      <c r="B2297" t="s">
        <v>2181</v>
      </c>
      <c r="C2297" t="s">
        <v>7</v>
      </c>
      <c r="D2297" t="s">
        <v>11</v>
      </c>
      <c r="E2297" t="str">
        <f>"54"</f>
        <v>54</v>
      </c>
      <c r="F2297" t="s">
        <v>2181</v>
      </c>
    </row>
    <row r="2298" spans="1:6" x14ac:dyDescent="0.25">
      <c r="A2298" t="str">
        <f>"54.01"</f>
        <v>54.01</v>
      </c>
      <c r="B2298" t="s">
        <v>2182</v>
      </c>
      <c r="C2298" t="s">
        <v>7</v>
      </c>
      <c r="D2298" t="s">
        <v>11</v>
      </c>
      <c r="E2298" t="str">
        <f>"54.01"</f>
        <v>54.01</v>
      </c>
      <c r="F2298" t="s">
        <v>2182</v>
      </c>
    </row>
    <row r="2299" spans="1:6" x14ac:dyDescent="0.25">
      <c r="A2299" t="str">
        <f>"54.0101"</f>
        <v>54.0101</v>
      </c>
      <c r="B2299" t="s">
        <v>2183</v>
      </c>
      <c r="C2299" t="s">
        <v>7</v>
      </c>
      <c r="D2299" t="s">
        <v>11</v>
      </c>
      <c r="E2299" t="str">
        <f>"54.0101"</f>
        <v>54.0101</v>
      </c>
      <c r="F2299" t="s">
        <v>2183</v>
      </c>
    </row>
    <row r="2300" spans="1:6" x14ac:dyDescent="0.25">
      <c r="A2300" t="str">
        <f>"54.0102"</f>
        <v>54.0102</v>
      </c>
      <c r="B2300" t="s">
        <v>2184</v>
      </c>
      <c r="C2300" t="s">
        <v>7</v>
      </c>
      <c r="D2300" t="s">
        <v>11</v>
      </c>
      <c r="E2300" t="str">
        <f>"54.0102"</f>
        <v>54.0102</v>
      </c>
      <c r="F2300" t="s">
        <v>2184</v>
      </c>
    </row>
    <row r="2301" spans="1:6" x14ac:dyDescent="0.25">
      <c r="A2301" t="str">
        <f>"54.0103"</f>
        <v>54.0103</v>
      </c>
      <c r="B2301" t="s">
        <v>2185</v>
      </c>
      <c r="C2301" t="s">
        <v>7</v>
      </c>
      <c r="D2301" t="s">
        <v>11</v>
      </c>
      <c r="E2301" t="str">
        <f>"54.0103"</f>
        <v>54.0103</v>
      </c>
      <c r="F2301" t="s">
        <v>2185</v>
      </c>
    </row>
    <row r="2302" spans="1:6" x14ac:dyDescent="0.25">
      <c r="A2302" t="str">
        <f>"54.0104"</f>
        <v>54.0104</v>
      </c>
      <c r="B2302" t="s">
        <v>2186</v>
      </c>
      <c r="C2302" t="s">
        <v>7</v>
      </c>
      <c r="D2302" t="s">
        <v>11</v>
      </c>
      <c r="E2302" t="str">
        <f>"54.0104"</f>
        <v>54.0104</v>
      </c>
      <c r="F2302" t="s">
        <v>2186</v>
      </c>
    </row>
    <row r="2303" spans="1:6" x14ac:dyDescent="0.25">
      <c r="A2303" t="str">
        <f>"54.0105"</f>
        <v>54.0105</v>
      </c>
      <c r="B2303" t="s">
        <v>2187</v>
      </c>
      <c r="C2303" t="s">
        <v>7</v>
      </c>
      <c r="D2303" t="s">
        <v>11</v>
      </c>
      <c r="E2303" t="str">
        <f>"54.0105"</f>
        <v>54.0105</v>
      </c>
      <c r="F2303" t="s">
        <v>2187</v>
      </c>
    </row>
    <row r="2304" spans="1:6" x14ac:dyDescent="0.25">
      <c r="A2304" t="str">
        <f>"54.0106"</f>
        <v>54.0106</v>
      </c>
      <c r="B2304" t="s">
        <v>2188</v>
      </c>
      <c r="C2304" t="s">
        <v>7</v>
      </c>
      <c r="D2304" t="s">
        <v>11</v>
      </c>
      <c r="E2304" t="str">
        <f>"54.0106"</f>
        <v>54.0106</v>
      </c>
      <c r="F2304" t="s">
        <v>2188</v>
      </c>
    </row>
    <row r="2305" spans="1:6" x14ac:dyDescent="0.25">
      <c r="A2305" t="str">
        <f>"54.0107"</f>
        <v>54.0107</v>
      </c>
      <c r="B2305" t="s">
        <v>2189</v>
      </c>
      <c r="C2305" t="s">
        <v>7</v>
      </c>
      <c r="D2305" t="s">
        <v>11</v>
      </c>
      <c r="E2305" t="str">
        <f>"54.0107"</f>
        <v>54.0107</v>
      </c>
      <c r="F2305" t="s">
        <v>2189</v>
      </c>
    </row>
    <row r="2306" spans="1:6" x14ac:dyDescent="0.25">
      <c r="A2306" t="str">
        <f>"54.0108"</f>
        <v>54.0108</v>
      </c>
      <c r="B2306" t="s">
        <v>2190</v>
      </c>
      <c r="C2306" t="s">
        <v>7</v>
      </c>
      <c r="D2306" t="s">
        <v>11</v>
      </c>
      <c r="E2306" t="str">
        <f>"54.0108"</f>
        <v>54.0108</v>
      </c>
      <c r="F2306" t="s">
        <v>2190</v>
      </c>
    </row>
    <row r="2307" spans="1:6" x14ac:dyDescent="0.25">
      <c r="A2307" t="str">
        <f>"54.0199"</f>
        <v>54.0199</v>
      </c>
      <c r="B2307" t="s">
        <v>2191</v>
      </c>
      <c r="C2307" t="s">
        <v>7</v>
      </c>
      <c r="D2307" t="s">
        <v>11</v>
      </c>
      <c r="E2307" t="str">
        <f>"54.0199"</f>
        <v>54.0199</v>
      </c>
      <c r="F2307" t="s">
        <v>2191</v>
      </c>
    </row>
    <row r="2308" spans="1:6" x14ac:dyDescent="0.25">
      <c r="C2308" t="s">
        <v>26</v>
      </c>
      <c r="D2308" t="s">
        <v>11</v>
      </c>
      <c r="E2308" t="str">
        <f>"55"</f>
        <v>55</v>
      </c>
      <c r="F2308" t="s">
        <v>809</v>
      </c>
    </row>
    <row r="2309" spans="1:6" x14ac:dyDescent="0.25">
      <c r="C2309" t="s">
        <v>26</v>
      </c>
      <c r="D2309" t="s">
        <v>11</v>
      </c>
      <c r="E2309" t="str">
        <f>"55.01"</f>
        <v>55.01</v>
      </c>
      <c r="F2309" t="s">
        <v>42</v>
      </c>
    </row>
    <row r="2310" spans="1:6" x14ac:dyDescent="0.25">
      <c r="C2310" t="s">
        <v>26</v>
      </c>
      <c r="D2310" t="s">
        <v>11</v>
      </c>
      <c r="E2310" t="str">
        <f>"55.0101"</f>
        <v>55.0101</v>
      </c>
      <c r="F2310" t="s">
        <v>42</v>
      </c>
    </row>
    <row r="2311" spans="1:6" x14ac:dyDescent="0.25">
      <c r="C2311" t="s">
        <v>26</v>
      </c>
      <c r="D2311" t="s">
        <v>11</v>
      </c>
      <c r="E2311" t="str">
        <f>"55.13"</f>
        <v>55.13</v>
      </c>
      <c r="F2311" t="s">
        <v>42</v>
      </c>
    </row>
    <row r="2312" spans="1:6" x14ac:dyDescent="0.25">
      <c r="C2312" t="s">
        <v>26</v>
      </c>
      <c r="D2312" t="s">
        <v>11</v>
      </c>
      <c r="E2312" t="str">
        <f>"55.1301"</f>
        <v>55.1301</v>
      </c>
      <c r="F2312" t="s">
        <v>42</v>
      </c>
    </row>
    <row r="2313" spans="1:6" x14ac:dyDescent="0.25">
      <c r="C2313" t="s">
        <v>26</v>
      </c>
      <c r="D2313" t="s">
        <v>11</v>
      </c>
      <c r="E2313" t="str">
        <f>"55.1302"</f>
        <v>55.1302</v>
      </c>
      <c r="F2313" t="s">
        <v>42</v>
      </c>
    </row>
    <row r="2314" spans="1:6" x14ac:dyDescent="0.25">
      <c r="C2314" t="s">
        <v>26</v>
      </c>
      <c r="D2314" t="s">
        <v>11</v>
      </c>
      <c r="E2314" t="str">
        <f>"55.1303"</f>
        <v>55.1303</v>
      </c>
      <c r="F2314" t="s">
        <v>42</v>
      </c>
    </row>
    <row r="2315" spans="1:6" x14ac:dyDescent="0.25">
      <c r="C2315" t="s">
        <v>26</v>
      </c>
      <c r="D2315" t="s">
        <v>11</v>
      </c>
      <c r="E2315" t="str">
        <f>"55.1304"</f>
        <v>55.1304</v>
      </c>
      <c r="F2315" t="s">
        <v>42</v>
      </c>
    </row>
    <row r="2316" spans="1:6" x14ac:dyDescent="0.25">
      <c r="C2316" t="s">
        <v>26</v>
      </c>
      <c r="D2316" t="s">
        <v>11</v>
      </c>
      <c r="E2316" t="str">
        <f>"55.1399"</f>
        <v>55.1399</v>
      </c>
      <c r="F2316" t="s">
        <v>42</v>
      </c>
    </row>
    <row r="2317" spans="1:6" x14ac:dyDescent="0.25">
      <c r="C2317" t="s">
        <v>26</v>
      </c>
      <c r="D2317" t="s">
        <v>11</v>
      </c>
      <c r="E2317" t="str">
        <f>"55.14"</f>
        <v>55.14</v>
      </c>
      <c r="F2317" t="s">
        <v>42</v>
      </c>
    </row>
    <row r="2318" spans="1:6" x14ac:dyDescent="0.25">
      <c r="C2318" t="s">
        <v>26</v>
      </c>
      <c r="D2318" t="s">
        <v>11</v>
      </c>
      <c r="E2318" t="str">
        <f>"55.1401"</f>
        <v>55.1401</v>
      </c>
      <c r="F2318" t="s">
        <v>42</v>
      </c>
    </row>
    <row r="2319" spans="1:6" x14ac:dyDescent="0.25">
      <c r="C2319" t="s">
        <v>26</v>
      </c>
      <c r="D2319" t="s">
        <v>11</v>
      </c>
      <c r="E2319" t="str">
        <f>"55.1403"</f>
        <v>55.1403</v>
      </c>
      <c r="F2319" t="s">
        <v>42</v>
      </c>
    </row>
    <row r="2320" spans="1:6" x14ac:dyDescent="0.25">
      <c r="C2320" t="s">
        <v>26</v>
      </c>
      <c r="D2320" t="s">
        <v>11</v>
      </c>
      <c r="E2320" t="str">
        <f>"55.1404"</f>
        <v>55.1404</v>
      </c>
      <c r="F2320" t="s">
        <v>42</v>
      </c>
    </row>
    <row r="2321" spans="1:6" x14ac:dyDescent="0.25">
      <c r="C2321" t="s">
        <v>26</v>
      </c>
      <c r="D2321" t="s">
        <v>11</v>
      </c>
      <c r="E2321" t="str">
        <f>"55.1405"</f>
        <v>55.1405</v>
      </c>
      <c r="F2321" t="s">
        <v>42</v>
      </c>
    </row>
    <row r="2322" spans="1:6" x14ac:dyDescent="0.25">
      <c r="C2322" t="s">
        <v>26</v>
      </c>
      <c r="D2322" t="s">
        <v>11</v>
      </c>
      <c r="E2322" t="str">
        <f>"55.1499"</f>
        <v>55.1499</v>
      </c>
      <c r="F2322" t="s">
        <v>42</v>
      </c>
    </row>
    <row r="2323" spans="1:6" x14ac:dyDescent="0.25">
      <c r="C2323" t="s">
        <v>26</v>
      </c>
      <c r="D2323" t="s">
        <v>11</v>
      </c>
      <c r="E2323" t="str">
        <f>"55.99"</f>
        <v>55.99</v>
      </c>
      <c r="F2323" t="s">
        <v>42</v>
      </c>
    </row>
    <row r="2324" spans="1:6" x14ac:dyDescent="0.25">
      <c r="C2324" t="s">
        <v>26</v>
      </c>
      <c r="D2324" t="s">
        <v>11</v>
      </c>
      <c r="E2324" t="str">
        <f>"55.9999"</f>
        <v>55.9999</v>
      </c>
      <c r="F2324" t="s">
        <v>42</v>
      </c>
    </row>
    <row r="2325" spans="1:6" x14ac:dyDescent="0.25">
      <c r="A2325" t="str">
        <f>"60"</f>
        <v>60</v>
      </c>
      <c r="B2325" t="s">
        <v>2192</v>
      </c>
      <c r="C2325" t="s">
        <v>7</v>
      </c>
      <c r="D2325" t="s">
        <v>8</v>
      </c>
      <c r="E2325" t="str">
        <f>"60"</f>
        <v>60</v>
      </c>
      <c r="F2325" t="s">
        <v>2193</v>
      </c>
    </row>
    <row r="2326" spans="1:6" x14ac:dyDescent="0.25">
      <c r="A2326" t="str">
        <f>"60.01"</f>
        <v>60.01</v>
      </c>
      <c r="B2326" t="s">
        <v>2194</v>
      </c>
      <c r="C2326" t="s">
        <v>7</v>
      </c>
      <c r="D2326" t="s">
        <v>8</v>
      </c>
      <c r="E2326" t="str">
        <f>"60.01"</f>
        <v>60.01</v>
      </c>
      <c r="F2326" t="s">
        <v>2195</v>
      </c>
    </row>
    <row r="2327" spans="1:6" x14ac:dyDescent="0.25">
      <c r="A2327" t="str">
        <f>"60.0101"</f>
        <v>60.0101</v>
      </c>
      <c r="B2327" t="s">
        <v>2196</v>
      </c>
      <c r="C2327" t="s">
        <v>7</v>
      </c>
      <c r="D2327" t="s">
        <v>11</v>
      </c>
      <c r="E2327" t="str">
        <f>"60.0101"</f>
        <v>60.0101</v>
      </c>
      <c r="F2327" t="s">
        <v>2196</v>
      </c>
    </row>
    <row r="2328" spans="1:6" x14ac:dyDescent="0.25">
      <c r="A2328" t="str">
        <f>"60.0102"</f>
        <v>60.0102</v>
      </c>
      <c r="B2328" t="s">
        <v>2197</v>
      </c>
      <c r="C2328" t="s">
        <v>7</v>
      </c>
      <c r="D2328" t="s">
        <v>11</v>
      </c>
      <c r="E2328" t="str">
        <f>"60.0102"</f>
        <v>60.0102</v>
      </c>
      <c r="F2328" t="s">
        <v>2197</v>
      </c>
    </row>
    <row r="2329" spans="1:6" x14ac:dyDescent="0.25">
      <c r="A2329" t="str">
        <f>"60.0103"</f>
        <v>60.0103</v>
      </c>
      <c r="B2329" t="s">
        <v>2198</v>
      </c>
      <c r="C2329" t="s">
        <v>7</v>
      </c>
      <c r="D2329" t="s">
        <v>11</v>
      </c>
      <c r="E2329" t="str">
        <f>"60.0103"</f>
        <v>60.0103</v>
      </c>
      <c r="F2329" t="s">
        <v>2198</v>
      </c>
    </row>
    <row r="2330" spans="1:6" x14ac:dyDescent="0.25">
      <c r="A2330" t="str">
        <f>"60.0104"</f>
        <v>60.0104</v>
      </c>
      <c r="B2330" t="s">
        <v>2199</v>
      </c>
      <c r="C2330" t="s">
        <v>7</v>
      </c>
      <c r="D2330" t="s">
        <v>11</v>
      </c>
      <c r="E2330" t="str">
        <f>"60.0104"</f>
        <v>60.0104</v>
      </c>
      <c r="F2330" t="s">
        <v>2199</v>
      </c>
    </row>
    <row r="2331" spans="1:6" x14ac:dyDescent="0.25">
      <c r="A2331" t="str">
        <f>"60.0105"</f>
        <v>60.0105</v>
      </c>
      <c r="B2331" t="s">
        <v>2200</v>
      </c>
      <c r="C2331" t="s">
        <v>7</v>
      </c>
      <c r="D2331" t="s">
        <v>11</v>
      </c>
      <c r="E2331" t="str">
        <f>"60.0105"</f>
        <v>60.0105</v>
      </c>
      <c r="F2331" t="s">
        <v>2200</v>
      </c>
    </row>
    <row r="2332" spans="1:6" x14ac:dyDescent="0.25">
      <c r="A2332" t="str">
        <f>"60.0106"</f>
        <v>60.0106</v>
      </c>
      <c r="B2332" t="s">
        <v>2201</v>
      </c>
      <c r="C2332" t="s">
        <v>7</v>
      </c>
      <c r="D2332" t="s">
        <v>11</v>
      </c>
      <c r="E2332" t="str">
        <f>"60.0106"</f>
        <v>60.0106</v>
      </c>
      <c r="F2332" t="s">
        <v>2201</v>
      </c>
    </row>
    <row r="2333" spans="1:6" x14ac:dyDescent="0.25">
      <c r="A2333" t="str">
        <f>"60.0107"</f>
        <v>60.0107</v>
      </c>
      <c r="B2333" t="s">
        <v>2202</v>
      </c>
      <c r="C2333" t="s">
        <v>7</v>
      </c>
      <c r="D2333" t="s">
        <v>11</v>
      </c>
      <c r="E2333" t="str">
        <f>"60.0107"</f>
        <v>60.0107</v>
      </c>
      <c r="F2333" t="s">
        <v>2202</v>
      </c>
    </row>
    <row r="2334" spans="1:6" x14ac:dyDescent="0.25">
      <c r="A2334" t="str">
        <f>"60.0108"</f>
        <v>60.0108</v>
      </c>
      <c r="B2334" t="s">
        <v>2203</v>
      </c>
      <c r="C2334" t="s">
        <v>7</v>
      </c>
      <c r="D2334" t="s">
        <v>11</v>
      </c>
      <c r="E2334" t="str">
        <f>"60.0108"</f>
        <v>60.0108</v>
      </c>
      <c r="F2334" t="s">
        <v>2203</v>
      </c>
    </row>
    <row r="2335" spans="1:6" x14ac:dyDescent="0.25">
      <c r="A2335" t="str">
        <f>"60.0109"</f>
        <v>60.0109</v>
      </c>
      <c r="B2335" t="s">
        <v>2204</v>
      </c>
      <c r="C2335" t="s">
        <v>7</v>
      </c>
      <c r="D2335" t="s">
        <v>11</v>
      </c>
      <c r="E2335" t="str">
        <f>"60.0109"</f>
        <v>60.0109</v>
      </c>
      <c r="F2335" t="s">
        <v>2204</v>
      </c>
    </row>
    <row r="2336" spans="1:6" x14ac:dyDescent="0.25">
      <c r="C2336" t="s">
        <v>26</v>
      </c>
      <c r="D2336" t="s">
        <v>11</v>
      </c>
      <c r="E2336" t="str">
        <f>"60.0110"</f>
        <v>60.0110</v>
      </c>
      <c r="F2336" t="s">
        <v>2205</v>
      </c>
    </row>
    <row r="2337" spans="1:6" x14ac:dyDescent="0.25">
      <c r="A2337" t="str">
        <f>"60.0199"</f>
        <v>60.0199</v>
      </c>
      <c r="B2337" t="s">
        <v>2206</v>
      </c>
      <c r="C2337" t="s">
        <v>7</v>
      </c>
      <c r="D2337" t="s">
        <v>8</v>
      </c>
      <c r="E2337" t="str">
        <f>"60.0199"</f>
        <v>60.0199</v>
      </c>
      <c r="F2337" t="s">
        <v>2207</v>
      </c>
    </row>
    <row r="2338" spans="1:6" x14ac:dyDescent="0.25">
      <c r="A2338" t="str">
        <f>"60.03"</f>
        <v>60.03</v>
      </c>
      <c r="B2338" t="s">
        <v>2208</v>
      </c>
      <c r="C2338" t="s">
        <v>7</v>
      </c>
      <c r="D2338" t="s">
        <v>8</v>
      </c>
      <c r="E2338" t="str">
        <f>"60.03"</f>
        <v>60.03</v>
      </c>
      <c r="F2338" t="s">
        <v>2209</v>
      </c>
    </row>
    <row r="2339" spans="1:6" x14ac:dyDescent="0.25">
      <c r="A2339" t="str">
        <f>"60.0301"</f>
        <v>60.0301</v>
      </c>
      <c r="B2339" t="s">
        <v>2210</v>
      </c>
      <c r="C2339" t="s">
        <v>7</v>
      </c>
      <c r="D2339" t="s">
        <v>11</v>
      </c>
      <c r="E2339" t="str">
        <f>"60.0301"</f>
        <v>60.0301</v>
      </c>
      <c r="F2339" t="s">
        <v>2210</v>
      </c>
    </row>
    <row r="2340" spans="1:6" x14ac:dyDescent="0.25">
      <c r="A2340" t="str">
        <f>"60.0302"</f>
        <v>60.0302</v>
      </c>
      <c r="B2340" t="s">
        <v>2211</v>
      </c>
      <c r="C2340" t="s">
        <v>7</v>
      </c>
      <c r="D2340" t="s">
        <v>11</v>
      </c>
      <c r="E2340" t="str">
        <f>"60.0302"</f>
        <v>60.0302</v>
      </c>
      <c r="F2340" t="s">
        <v>2211</v>
      </c>
    </row>
    <row r="2341" spans="1:6" x14ac:dyDescent="0.25">
      <c r="A2341" t="str">
        <f>"60.0303"</f>
        <v>60.0303</v>
      </c>
      <c r="B2341" t="s">
        <v>2212</v>
      </c>
      <c r="C2341" t="s">
        <v>7</v>
      </c>
      <c r="D2341" t="s">
        <v>11</v>
      </c>
      <c r="E2341" t="str">
        <f>"60.0303"</f>
        <v>60.0303</v>
      </c>
      <c r="F2341" t="s">
        <v>2212</v>
      </c>
    </row>
    <row r="2342" spans="1:6" x14ac:dyDescent="0.25">
      <c r="A2342" t="str">
        <f>"60.0304"</f>
        <v>60.0304</v>
      </c>
      <c r="B2342" t="s">
        <v>2213</v>
      </c>
      <c r="C2342" t="s">
        <v>7</v>
      </c>
      <c r="D2342" t="s">
        <v>11</v>
      </c>
      <c r="E2342" t="str">
        <f>"60.0304"</f>
        <v>60.0304</v>
      </c>
      <c r="F2342" t="s">
        <v>2213</v>
      </c>
    </row>
    <row r="2343" spans="1:6" x14ac:dyDescent="0.25">
      <c r="A2343" t="str">
        <f>"60.0305"</f>
        <v>60.0305</v>
      </c>
      <c r="B2343" t="s">
        <v>2214</v>
      </c>
      <c r="C2343" t="s">
        <v>7</v>
      </c>
      <c r="D2343" t="s">
        <v>11</v>
      </c>
      <c r="E2343" t="str">
        <f>"60.0305"</f>
        <v>60.0305</v>
      </c>
      <c r="F2343" t="s">
        <v>2214</v>
      </c>
    </row>
    <row r="2344" spans="1:6" x14ac:dyDescent="0.25">
      <c r="A2344" t="str">
        <f>"60.0306"</f>
        <v>60.0306</v>
      </c>
      <c r="B2344" t="s">
        <v>2215</v>
      </c>
      <c r="C2344" t="s">
        <v>7</v>
      </c>
      <c r="D2344" t="s">
        <v>11</v>
      </c>
      <c r="E2344" t="str">
        <f>"60.0306"</f>
        <v>60.0306</v>
      </c>
      <c r="F2344" t="s">
        <v>2215</v>
      </c>
    </row>
    <row r="2345" spans="1:6" x14ac:dyDescent="0.25">
      <c r="A2345" t="str">
        <f>"60.0307"</f>
        <v>60.0307</v>
      </c>
      <c r="B2345" t="s">
        <v>2216</v>
      </c>
      <c r="C2345" t="s">
        <v>7</v>
      </c>
      <c r="D2345" t="s">
        <v>11</v>
      </c>
      <c r="E2345" t="str">
        <f>"60.0307"</f>
        <v>60.0307</v>
      </c>
      <c r="F2345" t="s">
        <v>2216</v>
      </c>
    </row>
    <row r="2346" spans="1:6" x14ac:dyDescent="0.25">
      <c r="A2346" t="str">
        <f>"60.0308"</f>
        <v>60.0308</v>
      </c>
      <c r="B2346" t="s">
        <v>2217</v>
      </c>
      <c r="C2346" t="s">
        <v>7</v>
      </c>
      <c r="D2346" t="s">
        <v>11</v>
      </c>
      <c r="E2346" t="str">
        <f>"60.0308"</f>
        <v>60.0308</v>
      </c>
      <c r="F2346" t="s">
        <v>2217</v>
      </c>
    </row>
    <row r="2347" spans="1:6" x14ac:dyDescent="0.25">
      <c r="A2347" t="str">
        <f>"60.0309"</f>
        <v>60.0309</v>
      </c>
      <c r="B2347" t="s">
        <v>2218</v>
      </c>
      <c r="C2347" t="s">
        <v>7</v>
      </c>
      <c r="D2347" t="s">
        <v>11</v>
      </c>
      <c r="E2347" t="str">
        <f>"60.0309"</f>
        <v>60.0309</v>
      </c>
      <c r="F2347" t="s">
        <v>2218</v>
      </c>
    </row>
    <row r="2348" spans="1:6" x14ac:dyDescent="0.25">
      <c r="A2348" t="str">
        <f>"60.0310"</f>
        <v>60.0310</v>
      </c>
      <c r="B2348" t="s">
        <v>2219</v>
      </c>
      <c r="C2348" t="s">
        <v>7</v>
      </c>
      <c r="D2348" t="s">
        <v>11</v>
      </c>
      <c r="E2348" t="str">
        <f>"60.0310"</f>
        <v>60.0310</v>
      </c>
      <c r="F2348" t="s">
        <v>2219</v>
      </c>
    </row>
    <row r="2349" spans="1:6" x14ac:dyDescent="0.25">
      <c r="A2349" t="str">
        <f>"60.0311"</f>
        <v>60.0311</v>
      </c>
      <c r="B2349" t="s">
        <v>2220</v>
      </c>
      <c r="C2349" t="s">
        <v>7</v>
      </c>
      <c r="D2349" t="s">
        <v>11</v>
      </c>
      <c r="E2349" t="str">
        <f>"60.0311"</f>
        <v>60.0311</v>
      </c>
      <c r="F2349" t="s">
        <v>2220</v>
      </c>
    </row>
    <row r="2350" spans="1:6" x14ac:dyDescent="0.25">
      <c r="A2350" t="str">
        <f>"60.0312"</f>
        <v>60.0312</v>
      </c>
      <c r="B2350" t="s">
        <v>2221</v>
      </c>
      <c r="C2350" t="s">
        <v>7</v>
      </c>
      <c r="D2350" t="s">
        <v>11</v>
      </c>
      <c r="E2350" t="str">
        <f>"60.0312"</f>
        <v>60.0312</v>
      </c>
      <c r="F2350" t="s">
        <v>2221</v>
      </c>
    </row>
    <row r="2351" spans="1:6" x14ac:dyDescent="0.25">
      <c r="A2351" t="str">
        <f>"60.0313"</f>
        <v>60.0313</v>
      </c>
      <c r="B2351" t="s">
        <v>2222</v>
      </c>
      <c r="C2351" t="s">
        <v>7</v>
      </c>
      <c r="D2351" t="s">
        <v>11</v>
      </c>
      <c r="E2351" t="str">
        <f>"60.0313"</f>
        <v>60.0313</v>
      </c>
      <c r="F2351" t="s">
        <v>2222</v>
      </c>
    </row>
    <row r="2352" spans="1:6" x14ac:dyDescent="0.25">
      <c r="A2352" t="str">
        <f>"60.0314"</f>
        <v>60.0314</v>
      </c>
      <c r="B2352" t="s">
        <v>2223</v>
      </c>
      <c r="C2352" t="s">
        <v>7</v>
      </c>
      <c r="D2352" t="s">
        <v>11</v>
      </c>
      <c r="E2352" t="str">
        <f>"60.0314"</f>
        <v>60.0314</v>
      </c>
      <c r="F2352" t="s">
        <v>2223</v>
      </c>
    </row>
    <row r="2353" spans="1:6" x14ac:dyDescent="0.25">
      <c r="A2353" t="str">
        <f>"60.0315"</f>
        <v>60.0315</v>
      </c>
      <c r="B2353" t="s">
        <v>2224</v>
      </c>
      <c r="C2353" t="s">
        <v>7</v>
      </c>
      <c r="D2353" t="s">
        <v>11</v>
      </c>
      <c r="E2353" t="str">
        <f>"60.0315"</f>
        <v>60.0315</v>
      </c>
      <c r="F2353" t="s">
        <v>2224</v>
      </c>
    </row>
    <row r="2354" spans="1:6" x14ac:dyDescent="0.25">
      <c r="A2354" t="str">
        <f>"60.0316"</f>
        <v>60.0316</v>
      </c>
      <c r="B2354" t="s">
        <v>2225</v>
      </c>
      <c r="C2354" t="s">
        <v>7</v>
      </c>
      <c r="D2354" t="s">
        <v>11</v>
      </c>
      <c r="E2354" t="str">
        <f>"60.0316"</f>
        <v>60.0316</v>
      </c>
      <c r="F2354" t="s">
        <v>2225</v>
      </c>
    </row>
    <row r="2355" spans="1:6" x14ac:dyDescent="0.25">
      <c r="A2355" t="str">
        <f>"60.0317"</f>
        <v>60.0317</v>
      </c>
      <c r="B2355" t="s">
        <v>2226</v>
      </c>
      <c r="C2355" t="s">
        <v>7</v>
      </c>
      <c r="D2355" t="s">
        <v>11</v>
      </c>
      <c r="E2355" t="str">
        <f>"60.0317"</f>
        <v>60.0317</v>
      </c>
      <c r="F2355" t="s">
        <v>2226</v>
      </c>
    </row>
    <row r="2356" spans="1:6" x14ac:dyDescent="0.25">
      <c r="A2356" t="str">
        <f>"60.0318"</f>
        <v>60.0318</v>
      </c>
      <c r="B2356" t="s">
        <v>2227</v>
      </c>
      <c r="C2356" t="s">
        <v>7</v>
      </c>
      <c r="D2356" t="s">
        <v>11</v>
      </c>
      <c r="E2356" t="str">
        <f>"60.0318"</f>
        <v>60.0318</v>
      </c>
      <c r="F2356" t="s">
        <v>2227</v>
      </c>
    </row>
    <row r="2357" spans="1:6" x14ac:dyDescent="0.25">
      <c r="A2357" t="str">
        <f>"60.0319"</f>
        <v>60.0319</v>
      </c>
      <c r="B2357" t="s">
        <v>2228</v>
      </c>
      <c r="C2357" t="s">
        <v>7</v>
      </c>
      <c r="D2357" t="s">
        <v>11</v>
      </c>
      <c r="E2357" t="str">
        <f>"60.0319"</f>
        <v>60.0319</v>
      </c>
      <c r="F2357" t="s">
        <v>2228</v>
      </c>
    </row>
    <row r="2358" spans="1:6" x14ac:dyDescent="0.25">
      <c r="A2358" t="str">
        <f>"60.0320"</f>
        <v>60.0320</v>
      </c>
      <c r="B2358" t="s">
        <v>2229</v>
      </c>
      <c r="C2358" t="s">
        <v>7</v>
      </c>
      <c r="D2358" t="s">
        <v>11</v>
      </c>
      <c r="E2358" t="str">
        <f>"60.0320"</f>
        <v>60.0320</v>
      </c>
      <c r="F2358" t="s">
        <v>2229</v>
      </c>
    </row>
    <row r="2359" spans="1:6" x14ac:dyDescent="0.25">
      <c r="A2359" t="str">
        <f>"60.0399"</f>
        <v>60.0399</v>
      </c>
      <c r="B2359" t="s">
        <v>2230</v>
      </c>
      <c r="C2359" t="s">
        <v>7</v>
      </c>
      <c r="D2359" t="s">
        <v>8</v>
      </c>
      <c r="E2359" t="str">
        <f>"60.0399"</f>
        <v>60.0399</v>
      </c>
      <c r="F2359" t="s">
        <v>2231</v>
      </c>
    </row>
    <row r="2360" spans="1:6" x14ac:dyDescent="0.25">
      <c r="A2360" t="str">
        <f>"60.04"</f>
        <v>60.04</v>
      </c>
      <c r="B2360" t="s">
        <v>2232</v>
      </c>
      <c r="C2360" t="s">
        <v>1512</v>
      </c>
      <c r="D2360" t="s">
        <v>11</v>
      </c>
      <c r="E2360" t="str">
        <f>"60.04"</f>
        <v>60.04</v>
      </c>
      <c r="F2360" t="s">
        <v>1512</v>
      </c>
    </row>
    <row r="2361" spans="1:6" x14ac:dyDescent="0.25">
      <c r="A2361" t="str">
        <f>"60.0401"</f>
        <v>60.0401</v>
      </c>
      <c r="B2361" t="s">
        <v>2233</v>
      </c>
      <c r="C2361" t="s">
        <v>38</v>
      </c>
      <c r="D2361" t="s">
        <v>11</v>
      </c>
      <c r="E2361" t="str">
        <f>"61.2302"</f>
        <v>61.2302</v>
      </c>
      <c r="F2361" t="s">
        <v>2233</v>
      </c>
    </row>
    <row r="2362" spans="1:6" x14ac:dyDescent="0.25">
      <c r="A2362" t="str">
        <f>"60.0402"</f>
        <v>60.0402</v>
      </c>
      <c r="B2362" t="s">
        <v>2234</v>
      </c>
      <c r="C2362" t="s">
        <v>38</v>
      </c>
      <c r="D2362" t="s">
        <v>8</v>
      </c>
      <c r="E2362" t="str">
        <f>"61.0301"</f>
        <v>61.0301</v>
      </c>
      <c r="F2362" t="s">
        <v>2235</v>
      </c>
    </row>
    <row r="2363" spans="1:6" x14ac:dyDescent="0.25">
      <c r="A2363" t="str">
        <f>"60.0403"</f>
        <v>60.0403</v>
      </c>
      <c r="B2363" t="s">
        <v>2236</v>
      </c>
      <c r="C2363" t="s">
        <v>38</v>
      </c>
      <c r="D2363" t="s">
        <v>8</v>
      </c>
      <c r="E2363" t="str">
        <f>"61.0401"</f>
        <v>61.0401</v>
      </c>
      <c r="F2363" t="s">
        <v>2236</v>
      </c>
    </row>
    <row r="2364" spans="1:6" x14ac:dyDescent="0.25">
      <c r="A2364" t="str">
        <f>"60.0404"</f>
        <v>60.0404</v>
      </c>
      <c r="B2364" t="s">
        <v>2237</v>
      </c>
      <c r="C2364" t="s">
        <v>38</v>
      </c>
      <c r="D2364" t="s">
        <v>11</v>
      </c>
      <c r="E2364" t="str">
        <f>"61.1102"</f>
        <v>61.1102</v>
      </c>
      <c r="F2364" t="s">
        <v>2237</v>
      </c>
    </row>
    <row r="2365" spans="1:6" x14ac:dyDescent="0.25">
      <c r="A2365" t="str">
        <f>"60.0405"</f>
        <v>60.0405</v>
      </c>
      <c r="B2365" t="s">
        <v>2238</v>
      </c>
      <c r="C2365" t="s">
        <v>38</v>
      </c>
      <c r="D2365" t="s">
        <v>8</v>
      </c>
      <c r="E2365" t="str">
        <f>"61.0901"</f>
        <v>61.0901</v>
      </c>
      <c r="F2365" t="s">
        <v>2238</v>
      </c>
    </row>
    <row r="2366" spans="1:6" x14ac:dyDescent="0.25">
      <c r="A2366" t="str">
        <f>"60.0406"</f>
        <v>60.0406</v>
      </c>
      <c r="B2366" t="s">
        <v>2239</v>
      </c>
      <c r="C2366" t="s">
        <v>1512</v>
      </c>
      <c r="D2366" t="s">
        <v>11</v>
      </c>
      <c r="E2366" t="str">
        <f>"60.0406"</f>
        <v>60.0406</v>
      </c>
      <c r="F2366" t="s">
        <v>2240</v>
      </c>
    </row>
    <row r="2367" spans="1:6" x14ac:dyDescent="0.25">
      <c r="A2367" t="str">
        <f>"60.0407"</f>
        <v>60.0407</v>
      </c>
      <c r="B2367" t="s">
        <v>2241</v>
      </c>
      <c r="C2367" t="s">
        <v>38</v>
      </c>
      <c r="D2367" t="s">
        <v>8</v>
      </c>
      <c r="E2367" t="str">
        <f>"61.0902"</f>
        <v>61.0902</v>
      </c>
      <c r="F2367" t="s">
        <v>2242</v>
      </c>
    </row>
    <row r="2368" spans="1:6" x14ac:dyDescent="0.25">
      <c r="A2368" t="str">
        <f>"60.0408"</f>
        <v>60.0408</v>
      </c>
      <c r="B2368" t="s">
        <v>2243</v>
      </c>
      <c r="C2368" t="s">
        <v>1512</v>
      </c>
      <c r="D2368" t="s">
        <v>11</v>
      </c>
      <c r="E2368" t="str">
        <f>"60.0408"</f>
        <v>60.0408</v>
      </c>
      <c r="F2368" t="s">
        <v>2240</v>
      </c>
    </row>
    <row r="2369" spans="1:6" x14ac:dyDescent="0.25">
      <c r="A2369" t="str">
        <f>"60.0409"</f>
        <v>60.0409</v>
      </c>
      <c r="B2369" t="s">
        <v>2244</v>
      </c>
      <c r="C2369" t="s">
        <v>38</v>
      </c>
      <c r="D2369" t="s">
        <v>8</v>
      </c>
      <c r="E2369" t="str">
        <f>"61.2702"</f>
        <v>61.2702</v>
      </c>
      <c r="F2369" t="s">
        <v>2244</v>
      </c>
    </row>
    <row r="2370" spans="1:6" x14ac:dyDescent="0.25">
      <c r="A2370" t="str">
        <f>"60.0410"</f>
        <v>60.0410</v>
      </c>
      <c r="B2370" t="s">
        <v>2245</v>
      </c>
      <c r="C2370" t="s">
        <v>38</v>
      </c>
      <c r="D2370" t="s">
        <v>11</v>
      </c>
      <c r="E2370" t="str">
        <f>"61.0501"</f>
        <v>61.0501</v>
      </c>
      <c r="F2370" t="s">
        <v>2245</v>
      </c>
    </row>
    <row r="2371" spans="1:6" x14ac:dyDescent="0.25">
      <c r="A2371" t="str">
        <f>"60.0411"</f>
        <v>60.0411</v>
      </c>
      <c r="B2371" t="s">
        <v>2246</v>
      </c>
      <c r="C2371" t="s">
        <v>38</v>
      </c>
      <c r="D2371" t="s">
        <v>11</v>
      </c>
      <c r="E2371" t="str">
        <f>"61.2601"</f>
        <v>61.2601</v>
      </c>
      <c r="F2371" t="s">
        <v>2246</v>
      </c>
    </row>
    <row r="2372" spans="1:6" x14ac:dyDescent="0.25">
      <c r="A2372" t="str">
        <f>"60.0412"</f>
        <v>60.0412</v>
      </c>
      <c r="B2372" t="s">
        <v>2247</v>
      </c>
      <c r="C2372" t="s">
        <v>38</v>
      </c>
      <c r="D2372" t="s">
        <v>11</v>
      </c>
      <c r="E2372" t="str">
        <f>"61.0601"</f>
        <v>61.0601</v>
      </c>
      <c r="F2372" t="s">
        <v>2247</v>
      </c>
    </row>
    <row r="2373" spans="1:6" x14ac:dyDescent="0.25">
      <c r="A2373" t="str">
        <f>"60.0413"</f>
        <v>60.0413</v>
      </c>
      <c r="B2373" t="s">
        <v>2248</v>
      </c>
      <c r="C2373" t="s">
        <v>38</v>
      </c>
      <c r="D2373" t="s">
        <v>11</v>
      </c>
      <c r="E2373" t="str">
        <f>"61.0701"</f>
        <v>61.0701</v>
      </c>
      <c r="F2373" t="s">
        <v>2248</v>
      </c>
    </row>
    <row r="2374" spans="1:6" x14ac:dyDescent="0.25">
      <c r="A2374" t="str">
        <f>"60.0414"</f>
        <v>60.0414</v>
      </c>
      <c r="B2374" t="s">
        <v>2249</v>
      </c>
      <c r="C2374" t="s">
        <v>38</v>
      </c>
      <c r="D2374" t="s">
        <v>11</v>
      </c>
      <c r="E2374" t="str">
        <f>"61.2701"</f>
        <v>61.2701</v>
      </c>
      <c r="F2374" t="s">
        <v>2249</v>
      </c>
    </row>
    <row r="2375" spans="1:6" x14ac:dyDescent="0.25">
      <c r="A2375" t="str">
        <f>"60.0415"</f>
        <v>60.0415</v>
      </c>
      <c r="B2375" t="s">
        <v>2250</v>
      </c>
      <c r="C2375" t="s">
        <v>38</v>
      </c>
      <c r="D2375" t="s">
        <v>11</v>
      </c>
      <c r="E2375" t="str">
        <f>"61.0801"</f>
        <v>61.0801</v>
      </c>
      <c r="F2375" t="s">
        <v>2250</v>
      </c>
    </row>
    <row r="2376" spans="1:6" x14ac:dyDescent="0.25">
      <c r="A2376" t="str">
        <f>"60.0416"</f>
        <v>60.0416</v>
      </c>
      <c r="B2376" t="s">
        <v>2251</v>
      </c>
      <c r="C2376" t="s">
        <v>38</v>
      </c>
      <c r="D2376" t="s">
        <v>11</v>
      </c>
      <c r="E2376" t="str">
        <f>"61.1001"</f>
        <v>61.1001</v>
      </c>
      <c r="F2376" t="s">
        <v>2251</v>
      </c>
    </row>
    <row r="2377" spans="1:6" x14ac:dyDescent="0.25">
      <c r="A2377" t="str">
        <f>"60.0417"</f>
        <v>60.0417</v>
      </c>
      <c r="B2377" t="s">
        <v>2252</v>
      </c>
      <c r="C2377" t="s">
        <v>38</v>
      </c>
      <c r="D2377" t="s">
        <v>11</v>
      </c>
      <c r="E2377" t="str">
        <f>"61.1101"</f>
        <v>61.1101</v>
      </c>
      <c r="F2377" t="s">
        <v>2252</v>
      </c>
    </row>
    <row r="2378" spans="1:6" x14ac:dyDescent="0.25">
      <c r="A2378" t="str">
        <f>"60.0418"</f>
        <v>60.0418</v>
      </c>
      <c r="B2378" t="s">
        <v>2253</v>
      </c>
      <c r="C2378" t="s">
        <v>38</v>
      </c>
      <c r="D2378" t="s">
        <v>11</v>
      </c>
      <c r="E2378" t="str">
        <f>"61.1201"</f>
        <v>61.1201</v>
      </c>
      <c r="F2378" t="s">
        <v>2253</v>
      </c>
    </row>
    <row r="2379" spans="1:6" x14ac:dyDescent="0.25">
      <c r="A2379" t="str">
        <f>"60.0419"</f>
        <v>60.0419</v>
      </c>
      <c r="B2379" t="s">
        <v>2254</v>
      </c>
      <c r="C2379" t="s">
        <v>38</v>
      </c>
      <c r="D2379" t="s">
        <v>11</v>
      </c>
      <c r="E2379" t="str">
        <f>"61.1301"</f>
        <v>61.1301</v>
      </c>
      <c r="F2379" t="s">
        <v>2254</v>
      </c>
    </row>
    <row r="2380" spans="1:6" x14ac:dyDescent="0.25">
      <c r="A2380" t="str">
        <f>"60.0420"</f>
        <v>60.0420</v>
      </c>
      <c r="B2380" t="s">
        <v>2255</v>
      </c>
      <c r="C2380" t="s">
        <v>38</v>
      </c>
      <c r="D2380" t="s">
        <v>11</v>
      </c>
      <c r="E2380" t="str">
        <f>"61.2303"</f>
        <v>61.2303</v>
      </c>
      <c r="F2380" t="s">
        <v>2255</v>
      </c>
    </row>
    <row r="2381" spans="1:6" x14ac:dyDescent="0.25">
      <c r="A2381" t="str">
        <f>"60.0421"</f>
        <v>60.0421</v>
      </c>
      <c r="B2381" t="s">
        <v>2256</v>
      </c>
      <c r="C2381" t="s">
        <v>38</v>
      </c>
      <c r="D2381" t="s">
        <v>11</v>
      </c>
      <c r="E2381" t="str">
        <f>"61.1401"</f>
        <v>61.1401</v>
      </c>
      <c r="F2381" t="s">
        <v>2256</v>
      </c>
    </row>
    <row r="2382" spans="1:6" x14ac:dyDescent="0.25">
      <c r="A2382" t="str">
        <f>"60.0422"</f>
        <v>60.0422</v>
      </c>
      <c r="B2382" t="s">
        <v>2257</v>
      </c>
      <c r="C2382" t="s">
        <v>38</v>
      </c>
      <c r="D2382" t="s">
        <v>11</v>
      </c>
      <c r="E2382" t="str">
        <f>"61.1501"</f>
        <v>61.1501</v>
      </c>
      <c r="F2382" t="s">
        <v>2257</v>
      </c>
    </row>
    <row r="2383" spans="1:6" x14ac:dyDescent="0.25">
      <c r="A2383" t="str">
        <f>"60.0423"</f>
        <v>60.0423</v>
      </c>
      <c r="B2383" t="s">
        <v>2258</v>
      </c>
      <c r="C2383" t="s">
        <v>38</v>
      </c>
      <c r="D2383" t="s">
        <v>11</v>
      </c>
      <c r="E2383" t="str">
        <f>"61.1701"</f>
        <v>61.1701</v>
      </c>
      <c r="F2383" t="s">
        <v>2258</v>
      </c>
    </row>
    <row r="2384" spans="1:6" x14ac:dyDescent="0.25">
      <c r="A2384" t="str">
        <f>"60.0424"</f>
        <v>60.0424</v>
      </c>
      <c r="B2384" t="s">
        <v>2259</v>
      </c>
      <c r="C2384" t="s">
        <v>38</v>
      </c>
      <c r="D2384" t="s">
        <v>8</v>
      </c>
      <c r="E2384" t="str">
        <f>"61.1801"</f>
        <v>61.1801</v>
      </c>
      <c r="F2384" t="s">
        <v>2260</v>
      </c>
    </row>
    <row r="2385" spans="1:6" x14ac:dyDescent="0.25">
      <c r="A2385" t="str">
        <f>"60.0425"</f>
        <v>60.0425</v>
      </c>
      <c r="B2385" t="s">
        <v>2261</v>
      </c>
      <c r="C2385" t="s">
        <v>38</v>
      </c>
      <c r="D2385" t="s">
        <v>11</v>
      </c>
      <c r="E2385" t="str">
        <f>"61.1901"</f>
        <v>61.1901</v>
      </c>
      <c r="F2385" t="s">
        <v>2261</v>
      </c>
    </row>
    <row r="2386" spans="1:6" x14ac:dyDescent="0.25">
      <c r="A2386" t="str">
        <f>"60.0426"</f>
        <v>60.0426</v>
      </c>
      <c r="B2386" t="s">
        <v>2262</v>
      </c>
      <c r="C2386" t="s">
        <v>38</v>
      </c>
      <c r="D2386" t="s">
        <v>11</v>
      </c>
      <c r="E2386" t="str">
        <f>"61.2001"</f>
        <v>61.2001</v>
      </c>
      <c r="F2386" t="s">
        <v>2262</v>
      </c>
    </row>
    <row r="2387" spans="1:6" x14ac:dyDescent="0.25">
      <c r="A2387" t="str">
        <f>"60.0427"</f>
        <v>60.0427</v>
      </c>
      <c r="B2387" t="s">
        <v>2263</v>
      </c>
      <c r="C2387" t="s">
        <v>38</v>
      </c>
      <c r="D2387" t="s">
        <v>11</v>
      </c>
      <c r="E2387" t="str">
        <f>"61.2101"</f>
        <v>61.2101</v>
      </c>
      <c r="F2387" t="s">
        <v>2263</v>
      </c>
    </row>
    <row r="2388" spans="1:6" x14ac:dyDescent="0.25">
      <c r="A2388" t="str">
        <f>"60.0428"</f>
        <v>60.0428</v>
      </c>
      <c r="B2388" t="s">
        <v>2264</v>
      </c>
      <c r="C2388" t="s">
        <v>38</v>
      </c>
      <c r="D2388" t="s">
        <v>11</v>
      </c>
      <c r="E2388" t="str">
        <f>"61.2401"</f>
        <v>61.2401</v>
      </c>
      <c r="F2388" t="s">
        <v>2264</v>
      </c>
    </row>
    <row r="2389" spans="1:6" x14ac:dyDescent="0.25">
      <c r="A2389" t="str">
        <f>"60.0429"</f>
        <v>60.0429</v>
      </c>
      <c r="B2389" t="s">
        <v>2265</v>
      </c>
      <c r="C2389" t="s">
        <v>38</v>
      </c>
      <c r="D2389" t="s">
        <v>11</v>
      </c>
      <c r="E2389" t="str">
        <f>"61.2301"</f>
        <v>61.2301</v>
      </c>
      <c r="F2389" t="s">
        <v>2265</v>
      </c>
    </row>
    <row r="2390" spans="1:6" x14ac:dyDescent="0.25">
      <c r="A2390" t="str">
        <f>"60.0430"</f>
        <v>60.0430</v>
      </c>
      <c r="B2390" t="s">
        <v>2266</v>
      </c>
      <c r="C2390" t="s">
        <v>38</v>
      </c>
      <c r="D2390" t="s">
        <v>11</v>
      </c>
      <c r="E2390" t="str">
        <f>"61.2501"</f>
        <v>61.2501</v>
      </c>
      <c r="F2390" t="s">
        <v>2266</v>
      </c>
    </row>
    <row r="2391" spans="1:6" x14ac:dyDescent="0.25">
      <c r="A2391" t="str">
        <f>"60.0431"</f>
        <v>60.0431</v>
      </c>
      <c r="B2391" t="s">
        <v>2267</v>
      </c>
      <c r="C2391" t="s">
        <v>38</v>
      </c>
      <c r="D2391" t="s">
        <v>11</v>
      </c>
      <c r="E2391" t="str">
        <f>"61.2610"</f>
        <v>61.2610</v>
      </c>
      <c r="F2391" t="s">
        <v>2267</v>
      </c>
    </row>
    <row r="2392" spans="1:6" x14ac:dyDescent="0.25">
      <c r="A2392" t="str">
        <f>"60.0432"</f>
        <v>60.0432</v>
      </c>
      <c r="B2392" t="s">
        <v>2268</v>
      </c>
      <c r="C2392" t="s">
        <v>38</v>
      </c>
      <c r="D2392" t="s">
        <v>8</v>
      </c>
      <c r="E2392" t="str">
        <f>"61.2707"</f>
        <v>61.2707</v>
      </c>
      <c r="F2392" t="s">
        <v>2269</v>
      </c>
    </row>
    <row r="2393" spans="1:6" x14ac:dyDescent="0.25">
      <c r="A2393" t="str">
        <f>"60.0433"</f>
        <v>60.0433</v>
      </c>
      <c r="B2393" t="s">
        <v>2270</v>
      </c>
      <c r="C2393" t="s">
        <v>38</v>
      </c>
      <c r="D2393" t="s">
        <v>8</v>
      </c>
      <c r="E2393" t="str">
        <f>"61.2801"</f>
        <v>61.2801</v>
      </c>
      <c r="F2393" t="s">
        <v>2270</v>
      </c>
    </row>
    <row r="2394" spans="1:6" x14ac:dyDescent="0.25">
      <c r="A2394" t="str">
        <f>"60.0434"</f>
        <v>60.0434</v>
      </c>
      <c r="B2394" t="s">
        <v>2271</v>
      </c>
      <c r="C2394" t="s">
        <v>38</v>
      </c>
      <c r="D2394" t="s">
        <v>8</v>
      </c>
      <c r="E2394" t="str">
        <f>"61.2708"</f>
        <v>61.2708</v>
      </c>
      <c r="F2394" t="s">
        <v>2272</v>
      </c>
    </row>
    <row r="2395" spans="1:6" x14ac:dyDescent="0.25">
      <c r="A2395" t="str">
        <f>"60.0499"</f>
        <v>60.0499</v>
      </c>
      <c r="B2395" t="s">
        <v>2273</v>
      </c>
      <c r="C2395" t="s">
        <v>1512</v>
      </c>
      <c r="D2395" t="s">
        <v>11</v>
      </c>
      <c r="E2395" t="str">
        <f>"60.0499"</f>
        <v>60.0499</v>
      </c>
      <c r="F2395" t="s">
        <v>1512</v>
      </c>
    </row>
    <row r="2396" spans="1:6" x14ac:dyDescent="0.25">
      <c r="A2396" t="str">
        <f>"60.05"</f>
        <v>60.05</v>
      </c>
      <c r="B2396" t="s">
        <v>2274</v>
      </c>
      <c r="C2396" t="s">
        <v>1512</v>
      </c>
      <c r="D2396" t="s">
        <v>11</v>
      </c>
      <c r="E2396" t="str">
        <f>"60.05"</f>
        <v>60.05</v>
      </c>
      <c r="F2396" t="s">
        <v>1512</v>
      </c>
    </row>
    <row r="2397" spans="1:6" x14ac:dyDescent="0.25">
      <c r="A2397" t="str">
        <f>"60.0501"</f>
        <v>60.0501</v>
      </c>
      <c r="B2397" t="s">
        <v>2275</v>
      </c>
      <c r="C2397" t="s">
        <v>38</v>
      </c>
      <c r="D2397" t="s">
        <v>8</v>
      </c>
      <c r="E2397" t="str">
        <f>"61.2402"</f>
        <v>61.2402</v>
      </c>
      <c r="F2397" t="s">
        <v>2276</v>
      </c>
    </row>
    <row r="2398" spans="1:6" x14ac:dyDescent="0.25">
      <c r="A2398" t="str">
        <f>"60.0502"</f>
        <v>60.0502</v>
      </c>
      <c r="B2398" t="s">
        <v>2277</v>
      </c>
      <c r="C2398" t="s">
        <v>38</v>
      </c>
      <c r="D2398" t="s">
        <v>8</v>
      </c>
      <c r="E2398" t="str">
        <f>"61.1902"</f>
        <v>61.1902</v>
      </c>
      <c r="F2398" t="s">
        <v>2278</v>
      </c>
    </row>
    <row r="2399" spans="1:6" x14ac:dyDescent="0.25">
      <c r="A2399" t="str">
        <f>"60.0503"</f>
        <v>60.0503</v>
      </c>
      <c r="B2399" t="s">
        <v>2279</v>
      </c>
      <c r="C2399" t="s">
        <v>38</v>
      </c>
      <c r="D2399" t="s">
        <v>8</v>
      </c>
      <c r="E2399" t="str">
        <f>"61.1804"</f>
        <v>61.1804</v>
      </c>
      <c r="F2399" t="s">
        <v>2280</v>
      </c>
    </row>
    <row r="2400" spans="1:6" x14ac:dyDescent="0.25">
      <c r="A2400" t="str">
        <f>"60.0504"</f>
        <v>60.0504</v>
      </c>
      <c r="B2400" t="s">
        <v>2281</v>
      </c>
      <c r="C2400" t="s">
        <v>38</v>
      </c>
      <c r="D2400" t="s">
        <v>8</v>
      </c>
      <c r="E2400" t="str">
        <f>"61.0804"</f>
        <v>61.0804</v>
      </c>
      <c r="F2400" t="s">
        <v>2282</v>
      </c>
    </row>
    <row r="2401" spans="1:6" x14ac:dyDescent="0.25">
      <c r="A2401" t="str">
        <f>"60.0505"</f>
        <v>60.0505</v>
      </c>
      <c r="B2401" t="s">
        <v>2283</v>
      </c>
      <c r="C2401" t="s">
        <v>38</v>
      </c>
      <c r="D2401" t="s">
        <v>8</v>
      </c>
      <c r="E2401" t="str">
        <f>"61.1805"</f>
        <v>61.1805</v>
      </c>
      <c r="F2401" t="s">
        <v>2284</v>
      </c>
    </row>
    <row r="2402" spans="1:6" x14ac:dyDescent="0.25">
      <c r="A2402" t="str">
        <f>"60.0506"</f>
        <v>60.0506</v>
      </c>
      <c r="B2402" t="s">
        <v>2285</v>
      </c>
      <c r="C2402" t="s">
        <v>38</v>
      </c>
      <c r="D2402" t="s">
        <v>8</v>
      </c>
      <c r="E2402" t="str">
        <f>"61.1903"</f>
        <v>61.1903</v>
      </c>
      <c r="F2402" t="s">
        <v>2286</v>
      </c>
    </row>
    <row r="2403" spans="1:6" x14ac:dyDescent="0.25">
      <c r="A2403" t="str">
        <f>"60.0507"</f>
        <v>60.0507</v>
      </c>
      <c r="B2403" t="s">
        <v>2287</v>
      </c>
      <c r="C2403" t="s">
        <v>38</v>
      </c>
      <c r="D2403" t="s">
        <v>8</v>
      </c>
      <c r="E2403" t="str">
        <f>"61.2403"</f>
        <v>61.2403</v>
      </c>
      <c r="F2403" t="s">
        <v>2288</v>
      </c>
    </row>
    <row r="2404" spans="1:6" x14ac:dyDescent="0.25">
      <c r="A2404" t="str">
        <f>"60.0508"</f>
        <v>60.0508</v>
      </c>
      <c r="B2404" t="s">
        <v>2289</v>
      </c>
      <c r="C2404" t="s">
        <v>38</v>
      </c>
      <c r="D2404" t="s">
        <v>8</v>
      </c>
      <c r="E2404" t="str">
        <f>"61.0805"</f>
        <v>61.0805</v>
      </c>
      <c r="F2404" t="s">
        <v>2290</v>
      </c>
    </row>
    <row r="2405" spans="1:6" x14ac:dyDescent="0.25">
      <c r="A2405" t="str">
        <f>"60.0509"</f>
        <v>60.0509</v>
      </c>
      <c r="B2405" t="s">
        <v>2291</v>
      </c>
      <c r="C2405" t="s">
        <v>38</v>
      </c>
      <c r="D2405" t="s">
        <v>8</v>
      </c>
      <c r="E2405" t="str">
        <f>"61.1103"</f>
        <v>61.1103</v>
      </c>
      <c r="F2405" t="s">
        <v>2292</v>
      </c>
    </row>
    <row r="2406" spans="1:6" x14ac:dyDescent="0.25">
      <c r="A2406" t="str">
        <f>"60.0510"</f>
        <v>60.0510</v>
      </c>
      <c r="B2406" t="s">
        <v>2293</v>
      </c>
      <c r="C2406" t="s">
        <v>38</v>
      </c>
      <c r="D2406" t="s">
        <v>8</v>
      </c>
      <c r="E2406" t="str">
        <f>"61.2704"</f>
        <v>61.2704</v>
      </c>
      <c r="F2406" t="s">
        <v>2294</v>
      </c>
    </row>
    <row r="2407" spans="1:6" x14ac:dyDescent="0.25">
      <c r="A2407" t="str">
        <f>"60.0511"</f>
        <v>60.0511</v>
      </c>
      <c r="B2407" t="s">
        <v>2295</v>
      </c>
      <c r="C2407" t="s">
        <v>38</v>
      </c>
      <c r="D2407" t="s">
        <v>8</v>
      </c>
      <c r="E2407" t="str">
        <f>"61.0202"</f>
        <v>61.0202</v>
      </c>
      <c r="F2407" t="s">
        <v>2296</v>
      </c>
    </row>
    <row r="2408" spans="1:6" x14ac:dyDescent="0.25">
      <c r="A2408" t="str">
        <f>"60.0512"</f>
        <v>60.0512</v>
      </c>
      <c r="B2408" t="s">
        <v>2297</v>
      </c>
      <c r="C2408" t="s">
        <v>38</v>
      </c>
      <c r="D2408" t="s">
        <v>8</v>
      </c>
      <c r="E2408" t="str">
        <f>"61.1806"</f>
        <v>61.1806</v>
      </c>
      <c r="F2408" t="s">
        <v>2298</v>
      </c>
    </row>
    <row r="2409" spans="1:6" x14ac:dyDescent="0.25">
      <c r="A2409" t="str">
        <f>"60.0513"</f>
        <v>60.0513</v>
      </c>
      <c r="B2409" t="s">
        <v>2299</v>
      </c>
      <c r="C2409" t="s">
        <v>38</v>
      </c>
      <c r="D2409" t="s">
        <v>8</v>
      </c>
      <c r="E2409" t="str">
        <f>"61.0502"</f>
        <v>61.0502</v>
      </c>
      <c r="F2409" t="s">
        <v>2300</v>
      </c>
    </row>
    <row r="2410" spans="1:6" x14ac:dyDescent="0.25">
      <c r="A2410" t="str">
        <f>"60.0514"</f>
        <v>60.0514</v>
      </c>
      <c r="B2410" t="s">
        <v>2301</v>
      </c>
      <c r="C2410" t="s">
        <v>38</v>
      </c>
      <c r="D2410" t="s">
        <v>8</v>
      </c>
      <c r="E2410" t="str">
        <f>"61.1904"</f>
        <v>61.1904</v>
      </c>
      <c r="F2410" t="s">
        <v>2302</v>
      </c>
    </row>
    <row r="2411" spans="1:6" x14ac:dyDescent="0.25">
      <c r="A2411" t="str">
        <f>"60.0515"</f>
        <v>60.0515</v>
      </c>
      <c r="B2411" t="s">
        <v>2303</v>
      </c>
      <c r="C2411" t="s">
        <v>38</v>
      </c>
      <c r="D2411" t="s">
        <v>11</v>
      </c>
      <c r="E2411" t="str">
        <f>"61.2604"</f>
        <v>61.2604</v>
      </c>
      <c r="F2411" t="s">
        <v>2303</v>
      </c>
    </row>
    <row r="2412" spans="1:6" x14ac:dyDescent="0.25">
      <c r="A2412" t="str">
        <f>"60.0516"</f>
        <v>60.0516</v>
      </c>
      <c r="B2412" t="s">
        <v>2304</v>
      </c>
      <c r="C2412" t="s">
        <v>38</v>
      </c>
      <c r="D2412" t="s">
        <v>8</v>
      </c>
      <c r="E2412" t="str">
        <f>"61.0806"</f>
        <v>61.0806</v>
      </c>
      <c r="F2412" t="s">
        <v>2305</v>
      </c>
    </row>
    <row r="2413" spans="1:6" x14ac:dyDescent="0.25">
      <c r="A2413" t="str">
        <f>"60.0517"</f>
        <v>60.0517</v>
      </c>
      <c r="B2413" t="s">
        <v>2306</v>
      </c>
      <c r="C2413" t="s">
        <v>38</v>
      </c>
      <c r="D2413" t="s">
        <v>8</v>
      </c>
      <c r="E2413" t="str">
        <f>"61.1807"</f>
        <v>61.1807</v>
      </c>
      <c r="F2413" t="s">
        <v>2307</v>
      </c>
    </row>
    <row r="2414" spans="1:6" x14ac:dyDescent="0.25">
      <c r="A2414" t="str">
        <f>"60.0518"</f>
        <v>60.0518</v>
      </c>
      <c r="B2414" t="s">
        <v>2308</v>
      </c>
      <c r="C2414" t="s">
        <v>38</v>
      </c>
      <c r="D2414" t="s">
        <v>8</v>
      </c>
      <c r="E2414" t="str">
        <f>"61.2405"</f>
        <v>61.2405</v>
      </c>
      <c r="F2414" t="s">
        <v>2309</v>
      </c>
    </row>
    <row r="2415" spans="1:6" x14ac:dyDescent="0.25">
      <c r="A2415" t="str">
        <f>"60.0519"</f>
        <v>60.0519</v>
      </c>
      <c r="B2415" t="s">
        <v>2310</v>
      </c>
      <c r="C2415" t="s">
        <v>38</v>
      </c>
      <c r="D2415" t="s">
        <v>8</v>
      </c>
      <c r="E2415" t="str">
        <f>"61.0807"</f>
        <v>61.0807</v>
      </c>
      <c r="F2415" t="s">
        <v>2311</v>
      </c>
    </row>
    <row r="2416" spans="1:6" x14ac:dyDescent="0.25">
      <c r="A2416" t="str">
        <f>"60.0520"</f>
        <v>60.0520</v>
      </c>
      <c r="B2416" t="s">
        <v>2312</v>
      </c>
      <c r="C2416" t="s">
        <v>38</v>
      </c>
      <c r="D2416" t="s">
        <v>8</v>
      </c>
      <c r="E2416" t="str">
        <f>"61.0203"</f>
        <v>61.0203</v>
      </c>
      <c r="F2416" t="s">
        <v>2313</v>
      </c>
    </row>
    <row r="2417" spans="1:6" x14ac:dyDescent="0.25">
      <c r="A2417" t="str">
        <f>"60.0521"</f>
        <v>60.0521</v>
      </c>
      <c r="B2417" t="s">
        <v>2314</v>
      </c>
      <c r="C2417" t="s">
        <v>38</v>
      </c>
      <c r="D2417" t="s">
        <v>8</v>
      </c>
      <c r="E2417" t="str">
        <f>"61.2406"</f>
        <v>61.2406</v>
      </c>
      <c r="F2417" t="s">
        <v>2315</v>
      </c>
    </row>
    <row r="2418" spans="1:6" x14ac:dyDescent="0.25">
      <c r="A2418" t="str">
        <f>"60.0522"</f>
        <v>60.0522</v>
      </c>
      <c r="B2418" t="s">
        <v>2316</v>
      </c>
      <c r="C2418" t="s">
        <v>38</v>
      </c>
      <c r="D2418" t="s">
        <v>8</v>
      </c>
      <c r="E2418" t="str">
        <f>"61.1302"</f>
        <v>61.1302</v>
      </c>
      <c r="F2418" t="s">
        <v>2317</v>
      </c>
    </row>
    <row r="2419" spans="1:6" x14ac:dyDescent="0.25">
      <c r="A2419" t="str">
        <f>"60.0523"</f>
        <v>60.0523</v>
      </c>
      <c r="B2419" t="s">
        <v>2318</v>
      </c>
      <c r="C2419" t="s">
        <v>38</v>
      </c>
      <c r="D2419" t="s">
        <v>8</v>
      </c>
      <c r="E2419" t="str">
        <f>"61.1808"</f>
        <v>61.1808</v>
      </c>
      <c r="F2419" t="s">
        <v>2319</v>
      </c>
    </row>
    <row r="2420" spans="1:6" x14ac:dyDescent="0.25">
      <c r="A2420" t="str">
        <f>"60.0524"</f>
        <v>60.0524</v>
      </c>
      <c r="B2420" t="s">
        <v>2320</v>
      </c>
      <c r="C2420" t="s">
        <v>38</v>
      </c>
      <c r="D2420" t="s">
        <v>8</v>
      </c>
      <c r="E2420" t="str">
        <f>"61.0808"</f>
        <v>61.0808</v>
      </c>
      <c r="F2420" t="s">
        <v>2321</v>
      </c>
    </row>
    <row r="2421" spans="1:6" x14ac:dyDescent="0.25">
      <c r="A2421" t="str">
        <f>"60.0525"</f>
        <v>60.0525</v>
      </c>
      <c r="B2421" t="s">
        <v>2322</v>
      </c>
      <c r="C2421" t="s">
        <v>38</v>
      </c>
      <c r="D2421" t="s">
        <v>8</v>
      </c>
      <c r="E2421" t="str">
        <f>"61.0205"</f>
        <v>61.0205</v>
      </c>
      <c r="F2421" t="s">
        <v>2323</v>
      </c>
    </row>
    <row r="2422" spans="1:6" x14ac:dyDescent="0.25">
      <c r="A2422" t="str">
        <f>"60.0526"</f>
        <v>60.0526</v>
      </c>
      <c r="B2422" t="s">
        <v>2324</v>
      </c>
      <c r="C2422" t="s">
        <v>38</v>
      </c>
      <c r="D2422" t="s">
        <v>8</v>
      </c>
      <c r="E2422" t="str">
        <f>"61.1809"</f>
        <v>61.1809</v>
      </c>
      <c r="F2422" t="s">
        <v>2325</v>
      </c>
    </row>
    <row r="2423" spans="1:6" x14ac:dyDescent="0.25">
      <c r="A2423" t="str">
        <f>"60.0527"</f>
        <v>60.0527</v>
      </c>
      <c r="B2423" t="s">
        <v>2326</v>
      </c>
      <c r="C2423" t="s">
        <v>38</v>
      </c>
      <c r="D2423" t="s">
        <v>8</v>
      </c>
      <c r="E2423" t="str">
        <f>"61.0810"</f>
        <v>61.0810</v>
      </c>
      <c r="F2423" t="s">
        <v>2327</v>
      </c>
    </row>
    <row r="2424" spans="1:6" x14ac:dyDescent="0.25">
      <c r="A2424" t="str">
        <f>"60.0528"</f>
        <v>60.0528</v>
      </c>
      <c r="B2424" t="s">
        <v>2328</v>
      </c>
      <c r="C2424" t="s">
        <v>38</v>
      </c>
      <c r="D2424" t="s">
        <v>8</v>
      </c>
      <c r="E2424" t="str">
        <f>"61.0811"</f>
        <v>61.0811</v>
      </c>
      <c r="F2424" t="s">
        <v>2329</v>
      </c>
    </row>
    <row r="2425" spans="1:6" x14ac:dyDescent="0.25">
      <c r="A2425" t="str">
        <f>"60.0529"</f>
        <v>60.0529</v>
      </c>
      <c r="B2425" t="s">
        <v>2330</v>
      </c>
      <c r="C2425" t="s">
        <v>38</v>
      </c>
      <c r="D2425" t="s">
        <v>8</v>
      </c>
      <c r="E2425" t="str">
        <f>"61.1810"</f>
        <v>61.1810</v>
      </c>
      <c r="F2425" t="s">
        <v>2331</v>
      </c>
    </row>
    <row r="2426" spans="1:6" x14ac:dyDescent="0.25">
      <c r="A2426" t="str">
        <f>"60.0530"</f>
        <v>60.0530</v>
      </c>
      <c r="B2426" t="s">
        <v>2332</v>
      </c>
      <c r="C2426" t="s">
        <v>38</v>
      </c>
      <c r="D2426" t="s">
        <v>8</v>
      </c>
      <c r="E2426" t="str">
        <f>"61.1303"</f>
        <v>61.1303</v>
      </c>
      <c r="F2426" t="s">
        <v>2333</v>
      </c>
    </row>
    <row r="2427" spans="1:6" x14ac:dyDescent="0.25">
      <c r="A2427" t="str">
        <f>"60.0531"</f>
        <v>60.0531</v>
      </c>
      <c r="B2427" t="s">
        <v>2334</v>
      </c>
      <c r="C2427" t="s">
        <v>38</v>
      </c>
      <c r="D2427" t="s">
        <v>8</v>
      </c>
      <c r="E2427" t="str">
        <f>"61.0904"</f>
        <v>61.0904</v>
      </c>
      <c r="F2427" t="s">
        <v>2334</v>
      </c>
    </row>
    <row r="2428" spans="1:6" x14ac:dyDescent="0.25">
      <c r="A2428" t="str">
        <f>"60.0532"</f>
        <v>60.0532</v>
      </c>
      <c r="B2428" t="s">
        <v>2335</v>
      </c>
      <c r="C2428" t="s">
        <v>38</v>
      </c>
      <c r="D2428" t="s">
        <v>8</v>
      </c>
      <c r="E2428" t="str">
        <f>"61.1811"</f>
        <v>61.1811</v>
      </c>
      <c r="F2428" t="s">
        <v>2336</v>
      </c>
    </row>
    <row r="2429" spans="1:6" x14ac:dyDescent="0.25">
      <c r="A2429" t="str">
        <f>"60.0533"</f>
        <v>60.0533</v>
      </c>
      <c r="B2429" t="s">
        <v>2337</v>
      </c>
      <c r="C2429" t="s">
        <v>38</v>
      </c>
      <c r="D2429" t="s">
        <v>11</v>
      </c>
      <c r="E2429" t="str">
        <f>"61.2605"</f>
        <v>61.2605</v>
      </c>
      <c r="F2429" t="s">
        <v>2337</v>
      </c>
    </row>
    <row r="2430" spans="1:6" x14ac:dyDescent="0.25">
      <c r="A2430" t="str">
        <f>"60.0534"</f>
        <v>60.0534</v>
      </c>
      <c r="B2430" t="s">
        <v>2338</v>
      </c>
      <c r="C2430" t="s">
        <v>38</v>
      </c>
      <c r="D2430" t="s">
        <v>8</v>
      </c>
      <c r="E2430" t="str">
        <f>"61.0813"</f>
        <v>61.0813</v>
      </c>
      <c r="F2430" t="s">
        <v>2339</v>
      </c>
    </row>
    <row r="2431" spans="1:6" x14ac:dyDescent="0.25">
      <c r="A2431" t="str">
        <f>"60.0535"</f>
        <v>60.0535</v>
      </c>
      <c r="B2431" t="s">
        <v>2340</v>
      </c>
      <c r="C2431" t="s">
        <v>38</v>
      </c>
      <c r="D2431" t="s">
        <v>8</v>
      </c>
      <c r="E2431" t="str">
        <f>"61.0208"</f>
        <v>61.0208</v>
      </c>
      <c r="F2431" t="s">
        <v>2341</v>
      </c>
    </row>
    <row r="2432" spans="1:6" x14ac:dyDescent="0.25">
      <c r="A2432" t="str">
        <f>"60.0536"</f>
        <v>60.0536</v>
      </c>
      <c r="B2432" t="s">
        <v>2342</v>
      </c>
      <c r="C2432" t="s">
        <v>38</v>
      </c>
      <c r="D2432" t="s">
        <v>8</v>
      </c>
      <c r="E2432" t="str">
        <f>"61.1812"</f>
        <v>61.1812</v>
      </c>
      <c r="F2432" t="s">
        <v>2343</v>
      </c>
    </row>
    <row r="2433" spans="1:6" x14ac:dyDescent="0.25">
      <c r="A2433" t="str">
        <f>"60.0537"</f>
        <v>60.0537</v>
      </c>
      <c r="B2433" t="s">
        <v>2344</v>
      </c>
      <c r="C2433" t="s">
        <v>38</v>
      </c>
      <c r="D2433" t="s">
        <v>8</v>
      </c>
      <c r="E2433" t="str">
        <f>"61.1502"</f>
        <v>61.1502</v>
      </c>
      <c r="F2433" t="s">
        <v>2345</v>
      </c>
    </row>
    <row r="2434" spans="1:6" x14ac:dyDescent="0.25">
      <c r="A2434" t="str">
        <f>"60.0538"</f>
        <v>60.0538</v>
      </c>
      <c r="B2434" t="s">
        <v>2346</v>
      </c>
      <c r="C2434" t="s">
        <v>38</v>
      </c>
      <c r="D2434" t="s">
        <v>8</v>
      </c>
      <c r="E2434" t="str">
        <f>"61.1905"</f>
        <v>61.1905</v>
      </c>
      <c r="F2434" t="s">
        <v>2347</v>
      </c>
    </row>
    <row r="2435" spans="1:6" x14ac:dyDescent="0.25">
      <c r="A2435" t="str">
        <f>"60.0539"</f>
        <v>60.0539</v>
      </c>
      <c r="B2435" t="s">
        <v>2348</v>
      </c>
      <c r="C2435" t="s">
        <v>38</v>
      </c>
      <c r="D2435" t="s">
        <v>8</v>
      </c>
      <c r="E2435" t="str">
        <f>"61.0812"</f>
        <v>61.0812</v>
      </c>
      <c r="F2435" t="s">
        <v>2349</v>
      </c>
    </row>
    <row r="2436" spans="1:6" x14ac:dyDescent="0.25">
      <c r="A2436" t="str">
        <f>"60.0540"</f>
        <v>60.0540</v>
      </c>
      <c r="B2436" t="s">
        <v>2350</v>
      </c>
      <c r="C2436" t="s">
        <v>38</v>
      </c>
      <c r="D2436" t="s">
        <v>8</v>
      </c>
      <c r="E2436" t="str">
        <f>"61.1106"</f>
        <v>61.1106</v>
      </c>
      <c r="F2436" t="s">
        <v>2351</v>
      </c>
    </row>
    <row r="2437" spans="1:6" x14ac:dyDescent="0.25">
      <c r="A2437" t="str">
        <f>"60.0541"</f>
        <v>60.0541</v>
      </c>
      <c r="B2437" t="s">
        <v>2352</v>
      </c>
      <c r="C2437" t="s">
        <v>38</v>
      </c>
      <c r="D2437" t="s">
        <v>8</v>
      </c>
      <c r="E2437" t="str">
        <f>"61.0209"</f>
        <v>61.0209</v>
      </c>
      <c r="F2437" t="s">
        <v>2353</v>
      </c>
    </row>
    <row r="2438" spans="1:6" x14ac:dyDescent="0.25">
      <c r="A2438" t="str">
        <f>"60.0542"</f>
        <v>60.0542</v>
      </c>
      <c r="B2438" t="s">
        <v>2354</v>
      </c>
      <c r="C2438" t="s">
        <v>38</v>
      </c>
      <c r="D2438" t="s">
        <v>8</v>
      </c>
      <c r="E2438" t="str">
        <f>"61.1813"</f>
        <v>61.1813</v>
      </c>
      <c r="F2438" t="s">
        <v>2355</v>
      </c>
    </row>
    <row r="2439" spans="1:6" x14ac:dyDescent="0.25">
      <c r="A2439" t="str">
        <f>"60.0543"</f>
        <v>60.0543</v>
      </c>
      <c r="B2439" t="s">
        <v>2356</v>
      </c>
      <c r="C2439" t="s">
        <v>38</v>
      </c>
      <c r="D2439" t="s">
        <v>8</v>
      </c>
      <c r="E2439" t="str">
        <f>"61.2607"</f>
        <v>61.2607</v>
      </c>
      <c r="F2439" t="s">
        <v>2357</v>
      </c>
    </row>
    <row r="2440" spans="1:6" x14ac:dyDescent="0.25">
      <c r="A2440" t="str">
        <f>"60.0544"</f>
        <v>60.0544</v>
      </c>
      <c r="B2440" t="s">
        <v>2358</v>
      </c>
      <c r="C2440" t="s">
        <v>38</v>
      </c>
      <c r="D2440" t="s">
        <v>8</v>
      </c>
      <c r="E2440" t="str">
        <f>"61.1702"</f>
        <v>61.1702</v>
      </c>
      <c r="F2440" t="s">
        <v>2359</v>
      </c>
    </row>
    <row r="2441" spans="1:6" x14ac:dyDescent="0.25">
      <c r="A2441" t="str">
        <f>"60.0545"</f>
        <v>60.0545</v>
      </c>
      <c r="B2441" t="s">
        <v>2360</v>
      </c>
      <c r="C2441" t="s">
        <v>38</v>
      </c>
      <c r="D2441" t="s">
        <v>8</v>
      </c>
      <c r="E2441" t="str">
        <f>"61.2608"</f>
        <v>61.2608</v>
      </c>
      <c r="F2441" t="s">
        <v>2361</v>
      </c>
    </row>
    <row r="2442" spans="1:6" x14ac:dyDescent="0.25">
      <c r="A2442" t="str">
        <f>"60.0546"</f>
        <v>60.0546</v>
      </c>
      <c r="B2442" t="s">
        <v>2362</v>
      </c>
      <c r="C2442" t="s">
        <v>38</v>
      </c>
      <c r="D2442" t="s">
        <v>8</v>
      </c>
      <c r="E2442" t="str">
        <f>"61.1503"</f>
        <v>61.1503</v>
      </c>
      <c r="F2442" t="s">
        <v>2363</v>
      </c>
    </row>
    <row r="2443" spans="1:6" x14ac:dyDescent="0.25">
      <c r="A2443" t="str">
        <f>"60.0547"</f>
        <v>60.0547</v>
      </c>
      <c r="B2443" t="s">
        <v>2364</v>
      </c>
      <c r="C2443" t="s">
        <v>38</v>
      </c>
      <c r="D2443" t="s">
        <v>8</v>
      </c>
      <c r="E2443" t="str">
        <f>"61.1504"</f>
        <v>61.1504</v>
      </c>
      <c r="F2443" t="s">
        <v>2365</v>
      </c>
    </row>
    <row r="2444" spans="1:6" x14ac:dyDescent="0.25">
      <c r="A2444" t="str">
        <f>"60.0548"</f>
        <v>60.0548</v>
      </c>
      <c r="B2444" t="s">
        <v>2366</v>
      </c>
      <c r="C2444" t="s">
        <v>38</v>
      </c>
      <c r="D2444" t="s">
        <v>8</v>
      </c>
      <c r="E2444" t="str">
        <f>"61.0210"</f>
        <v>61.0210</v>
      </c>
      <c r="F2444" t="s">
        <v>2367</v>
      </c>
    </row>
    <row r="2445" spans="1:6" x14ac:dyDescent="0.25">
      <c r="A2445" t="str">
        <f>"60.0549"</f>
        <v>60.0549</v>
      </c>
      <c r="B2445" t="s">
        <v>2368</v>
      </c>
      <c r="C2445" t="s">
        <v>38</v>
      </c>
      <c r="D2445" t="s">
        <v>8</v>
      </c>
      <c r="E2445" t="str">
        <f>"61.1906"</f>
        <v>61.1906</v>
      </c>
      <c r="F2445" t="s">
        <v>2369</v>
      </c>
    </row>
    <row r="2446" spans="1:6" x14ac:dyDescent="0.25">
      <c r="A2446" t="str">
        <f>"60.0550"</f>
        <v>60.0550</v>
      </c>
      <c r="B2446" t="s">
        <v>2370</v>
      </c>
      <c r="C2446" t="s">
        <v>38</v>
      </c>
      <c r="D2446" t="s">
        <v>8</v>
      </c>
      <c r="E2446" t="str">
        <f>"61.1907"</f>
        <v>61.1907</v>
      </c>
      <c r="F2446" t="s">
        <v>2371</v>
      </c>
    </row>
    <row r="2447" spans="1:6" x14ac:dyDescent="0.25">
      <c r="A2447" t="str">
        <f>"60.0551"</f>
        <v>60.0551</v>
      </c>
      <c r="B2447" t="s">
        <v>2372</v>
      </c>
      <c r="C2447" t="s">
        <v>38</v>
      </c>
      <c r="D2447" t="s">
        <v>8</v>
      </c>
      <c r="E2447" t="str">
        <f>"61.0503"</f>
        <v>61.0503</v>
      </c>
      <c r="F2447" t="s">
        <v>2373</v>
      </c>
    </row>
    <row r="2448" spans="1:6" x14ac:dyDescent="0.25">
      <c r="A2448" t="str">
        <f>"60.0552"</f>
        <v>60.0552</v>
      </c>
      <c r="B2448" t="s">
        <v>2374</v>
      </c>
      <c r="C2448" t="s">
        <v>38</v>
      </c>
      <c r="D2448" t="s">
        <v>8</v>
      </c>
      <c r="E2448" t="str">
        <f>"61.1908"</f>
        <v>61.1908</v>
      </c>
      <c r="F2448" t="s">
        <v>2375</v>
      </c>
    </row>
    <row r="2449" spans="1:6" x14ac:dyDescent="0.25">
      <c r="A2449" t="str">
        <f>"60.0553"</f>
        <v>60.0553</v>
      </c>
      <c r="B2449" t="s">
        <v>2376</v>
      </c>
      <c r="C2449" t="s">
        <v>38</v>
      </c>
      <c r="D2449" t="s">
        <v>8</v>
      </c>
      <c r="E2449" t="str">
        <f>"61.1909"</f>
        <v>61.1909</v>
      </c>
      <c r="F2449" t="s">
        <v>2377</v>
      </c>
    </row>
    <row r="2450" spans="1:6" x14ac:dyDescent="0.25">
      <c r="A2450" t="str">
        <f>"60.0554"</f>
        <v>60.0554</v>
      </c>
      <c r="B2450" t="s">
        <v>2378</v>
      </c>
      <c r="C2450" t="s">
        <v>38</v>
      </c>
      <c r="D2450" t="s">
        <v>8</v>
      </c>
      <c r="E2450" t="str">
        <f>"61.1910"</f>
        <v>61.1910</v>
      </c>
      <c r="F2450" t="s">
        <v>2379</v>
      </c>
    </row>
    <row r="2451" spans="1:6" x14ac:dyDescent="0.25">
      <c r="A2451" t="str">
        <f>"60.0555"</f>
        <v>60.0555</v>
      </c>
      <c r="B2451" t="s">
        <v>2380</v>
      </c>
      <c r="C2451" t="s">
        <v>38</v>
      </c>
      <c r="D2451" t="s">
        <v>8</v>
      </c>
      <c r="E2451" t="str">
        <f>"61.1911"</f>
        <v>61.1911</v>
      </c>
      <c r="F2451" t="s">
        <v>2381</v>
      </c>
    </row>
    <row r="2452" spans="1:6" x14ac:dyDescent="0.25">
      <c r="A2452" t="str">
        <f>"60.0556"</f>
        <v>60.0556</v>
      </c>
      <c r="B2452" t="s">
        <v>2382</v>
      </c>
      <c r="C2452" t="s">
        <v>38</v>
      </c>
      <c r="D2452" t="s">
        <v>8</v>
      </c>
      <c r="E2452" t="str">
        <f>"61.1912"</f>
        <v>61.1912</v>
      </c>
      <c r="F2452" t="s">
        <v>2383</v>
      </c>
    </row>
    <row r="2453" spans="1:6" x14ac:dyDescent="0.25">
      <c r="A2453" t="str">
        <f>"60.0557"</f>
        <v>60.0557</v>
      </c>
      <c r="B2453" t="s">
        <v>2384</v>
      </c>
      <c r="C2453" t="s">
        <v>38</v>
      </c>
      <c r="D2453" t="s">
        <v>8</v>
      </c>
      <c r="E2453" t="str">
        <f>"61.1913"</f>
        <v>61.1913</v>
      </c>
      <c r="F2453" t="s">
        <v>2385</v>
      </c>
    </row>
    <row r="2454" spans="1:6" x14ac:dyDescent="0.25">
      <c r="A2454" t="str">
        <f>"60.0558"</f>
        <v>60.0558</v>
      </c>
      <c r="B2454" t="s">
        <v>2386</v>
      </c>
      <c r="C2454" t="s">
        <v>38</v>
      </c>
      <c r="D2454" t="s">
        <v>8</v>
      </c>
      <c r="E2454" t="str">
        <f>"61.1505"</f>
        <v>61.1505</v>
      </c>
      <c r="F2454" t="s">
        <v>2387</v>
      </c>
    </row>
    <row r="2455" spans="1:6" x14ac:dyDescent="0.25">
      <c r="A2455" t="str">
        <f>"60.0559"</f>
        <v>60.0559</v>
      </c>
      <c r="B2455" t="s">
        <v>2388</v>
      </c>
      <c r="C2455" t="s">
        <v>38</v>
      </c>
      <c r="D2455" t="s">
        <v>8</v>
      </c>
      <c r="E2455" t="str">
        <f>"61.1703"</f>
        <v>61.1703</v>
      </c>
      <c r="F2455" t="s">
        <v>2389</v>
      </c>
    </row>
    <row r="2456" spans="1:6" x14ac:dyDescent="0.25">
      <c r="A2456" t="str">
        <f>"60.0560"</f>
        <v>60.0560</v>
      </c>
      <c r="B2456" t="s">
        <v>2390</v>
      </c>
      <c r="C2456" t="s">
        <v>38</v>
      </c>
      <c r="D2456" t="s">
        <v>8</v>
      </c>
      <c r="E2456" t="str">
        <f>"61.1814"</f>
        <v>61.1814</v>
      </c>
      <c r="F2456" t="s">
        <v>2391</v>
      </c>
    </row>
    <row r="2457" spans="1:6" x14ac:dyDescent="0.25">
      <c r="A2457" t="str">
        <f>"60.0561"</f>
        <v>60.0561</v>
      </c>
      <c r="B2457" t="s">
        <v>2392</v>
      </c>
      <c r="C2457" t="s">
        <v>38</v>
      </c>
      <c r="D2457" t="s">
        <v>8</v>
      </c>
      <c r="E2457" t="str">
        <f>"61.1914"</f>
        <v>61.1914</v>
      </c>
      <c r="F2457" t="s">
        <v>2393</v>
      </c>
    </row>
    <row r="2458" spans="1:6" x14ac:dyDescent="0.25">
      <c r="A2458" t="str">
        <f>"60.0562"</f>
        <v>60.0562</v>
      </c>
      <c r="B2458" t="s">
        <v>2394</v>
      </c>
      <c r="C2458" t="s">
        <v>38</v>
      </c>
      <c r="D2458" t="s">
        <v>8</v>
      </c>
      <c r="E2458" t="str">
        <f>"61.2609"</f>
        <v>61.2609</v>
      </c>
      <c r="F2458" t="s">
        <v>2395</v>
      </c>
    </row>
    <row r="2459" spans="1:6" x14ac:dyDescent="0.25">
      <c r="A2459" t="str">
        <f>"60.0563"</f>
        <v>60.0563</v>
      </c>
      <c r="B2459" t="s">
        <v>2396</v>
      </c>
      <c r="C2459" t="s">
        <v>38</v>
      </c>
      <c r="D2459" t="s">
        <v>8</v>
      </c>
      <c r="E2459" t="str">
        <f>"61.2003"</f>
        <v>61.2003</v>
      </c>
      <c r="F2459" t="s">
        <v>2397</v>
      </c>
    </row>
    <row r="2460" spans="1:6" x14ac:dyDescent="0.25">
      <c r="A2460" t="str">
        <f>"60.0564"</f>
        <v>60.0564</v>
      </c>
      <c r="B2460" t="s">
        <v>2398</v>
      </c>
      <c r="C2460" t="s">
        <v>38</v>
      </c>
      <c r="D2460" t="s">
        <v>8</v>
      </c>
      <c r="E2460" t="str">
        <f>"61.1915"</f>
        <v>61.1915</v>
      </c>
      <c r="F2460" t="s">
        <v>2399</v>
      </c>
    </row>
    <row r="2461" spans="1:6" x14ac:dyDescent="0.25">
      <c r="A2461" t="str">
        <f>"60.0565"</f>
        <v>60.0565</v>
      </c>
      <c r="B2461" t="s">
        <v>2400</v>
      </c>
      <c r="C2461" t="s">
        <v>38</v>
      </c>
      <c r="D2461" t="s">
        <v>8</v>
      </c>
      <c r="E2461" t="str">
        <f>"61.2705"</f>
        <v>61.2705</v>
      </c>
      <c r="F2461" t="s">
        <v>2401</v>
      </c>
    </row>
    <row r="2462" spans="1:6" x14ac:dyDescent="0.25">
      <c r="A2462" t="str">
        <f>"60.0566"</f>
        <v>60.0566</v>
      </c>
      <c r="B2462" t="s">
        <v>2402</v>
      </c>
      <c r="C2462" t="s">
        <v>38</v>
      </c>
      <c r="D2462" t="s">
        <v>8</v>
      </c>
      <c r="E2462" t="str">
        <f>"61.1917"</f>
        <v>61.1917</v>
      </c>
      <c r="F2462" t="s">
        <v>2403</v>
      </c>
    </row>
    <row r="2463" spans="1:6" x14ac:dyDescent="0.25">
      <c r="A2463" t="str">
        <f>"60.0567"</f>
        <v>60.0567</v>
      </c>
      <c r="B2463" t="s">
        <v>2404</v>
      </c>
      <c r="C2463" t="s">
        <v>38</v>
      </c>
      <c r="D2463" t="s">
        <v>8</v>
      </c>
      <c r="E2463" t="str">
        <f>"61.2802"</f>
        <v>61.2802</v>
      </c>
      <c r="F2463" t="s">
        <v>2405</v>
      </c>
    </row>
    <row r="2464" spans="1:6" x14ac:dyDescent="0.25">
      <c r="A2464" t="str">
        <f>"60.0568"</f>
        <v>60.0568</v>
      </c>
      <c r="B2464" t="s">
        <v>2406</v>
      </c>
      <c r="C2464" t="s">
        <v>1512</v>
      </c>
      <c r="D2464" t="s">
        <v>11</v>
      </c>
      <c r="E2464" t="str">
        <f>"60.0568"</f>
        <v>60.0568</v>
      </c>
      <c r="F2464" t="s">
        <v>2407</v>
      </c>
    </row>
    <row r="2465" spans="1:6" x14ac:dyDescent="0.25">
      <c r="A2465" t="str">
        <f>"60.0569"</f>
        <v>60.0569</v>
      </c>
      <c r="B2465" t="s">
        <v>2408</v>
      </c>
      <c r="C2465" t="s">
        <v>38</v>
      </c>
      <c r="D2465" t="s">
        <v>8</v>
      </c>
      <c r="E2465" t="str">
        <f>"61.2103"</f>
        <v>61.2103</v>
      </c>
      <c r="F2465" t="s">
        <v>2409</v>
      </c>
    </row>
    <row r="2466" spans="1:6" x14ac:dyDescent="0.25">
      <c r="A2466" t="str">
        <f>"60.0570"</f>
        <v>60.0570</v>
      </c>
      <c r="B2466" t="s">
        <v>2410</v>
      </c>
      <c r="C2466" t="s">
        <v>38</v>
      </c>
      <c r="D2466" t="s">
        <v>8</v>
      </c>
      <c r="E2466" t="str">
        <f>"61.2404"</f>
        <v>61.2404</v>
      </c>
      <c r="F2466" t="s">
        <v>2411</v>
      </c>
    </row>
    <row r="2467" spans="1:6" x14ac:dyDescent="0.25">
      <c r="A2467" t="str">
        <f>"60.0571"</f>
        <v>60.0571</v>
      </c>
      <c r="B2467" t="s">
        <v>2412</v>
      </c>
      <c r="C2467" t="s">
        <v>38</v>
      </c>
      <c r="D2467" t="s">
        <v>8</v>
      </c>
      <c r="E2467" t="str">
        <f>"61.0814"</f>
        <v>61.0814</v>
      </c>
      <c r="F2467" t="s">
        <v>2413</v>
      </c>
    </row>
    <row r="2468" spans="1:6" x14ac:dyDescent="0.25">
      <c r="A2468" t="str">
        <f>"60.0572"</f>
        <v>60.0572</v>
      </c>
      <c r="B2468" t="s">
        <v>2414</v>
      </c>
      <c r="C2468" t="s">
        <v>38</v>
      </c>
      <c r="D2468" t="s">
        <v>8</v>
      </c>
      <c r="E2468" t="str">
        <f>"61.1815"</f>
        <v>61.1815</v>
      </c>
      <c r="F2468" t="s">
        <v>2415</v>
      </c>
    </row>
    <row r="2469" spans="1:6" x14ac:dyDescent="0.25">
      <c r="A2469" t="str">
        <f>"60.0573"</f>
        <v>60.0573</v>
      </c>
      <c r="B2469" t="s">
        <v>2416</v>
      </c>
      <c r="C2469" t="s">
        <v>38</v>
      </c>
      <c r="D2469" t="s">
        <v>8</v>
      </c>
      <c r="E2469" t="str">
        <f>"61.1304"</f>
        <v>61.1304</v>
      </c>
      <c r="F2469" t="s">
        <v>2417</v>
      </c>
    </row>
    <row r="2470" spans="1:6" x14ac:dyDescent="0.25">
      <c r="A2470" t="str">
        <f>"60.0574"</f>
        <v>60.0574</v>
      </c>
      <c r="B2470" t="s">
        <v>2418</v>
      </c>
      <c r="C2470" t="s">
        <v>38</v>
      </c>
      <c r="D2470" t="s">
        <v>8</v>
      </c>
      <c r="E2470" t="str">
        <f>"61.0816"</f>
        <v>61.0816</v>
      </c>
      <c r="F2470" t="s">
        <v>2419</v>
      </c>
    </row>
    <row r="2471" spans="1:6" x14ac:dyDescent="0.25">
      <c r="A2471" t="str">
        <f>"60.0575"</f>
        <v>60.0575</v>
      </c>
      <c r="B2471" t="s">
        <v>2420</v>
      </c>
      <c r="C2471" t="s">
        <v>38</v>
      </c>
      <c r="D2471" t="s">
        <v>8</v>
      </c>
      <c r="E2471" t="str">
        <f>"61.0212"</f>
        <v>61.0212</v>
      </c>
      <c r="F2471" t="s">
        <v>2421</v>
      </c>
    </row>
    <row r="2472" spans="1:6" x14ac:dyDescent="0.25">
      <c r="A2472" t="str">
        <f>"60.0576"</f>
        <v>60.0576</v>
      </c>
      <c r="B2472" t="s">
        <v>2422</v>
      </c>
      <c r="C2472" t="s">
        <v>38</v>
      </c>
      <c r="D2472" t="s">
        <v>8</v>
      </c>
      <c r="E2472" t="str">
        <f>"61.2002"</f>
        <v>61.2002</v>
      </c>
      <c r="F2472" t="s">
        <v>2423</v>
      </c>
    </row>
    <row r="2473" spans="1:6" x14ac:dyDescent="0.25">
      <c r="A2473" t="str">
        <f>"60.0577"</f>
        <v>60.0577</v>
      </c>
      <c r="B2473" t="s">
        <v>2424</v>
      </c>
      <c r="C2473" t="s">
        <v>38</v>
      </c>
      <c r="D2473" t="s">
        <v>8</v>
      </c>
      <c r="E2473" t="str">
        <f>"61.0213"</f>
        <v>61.0213</v>
      </c>
      <c r="F2473" t="s">
        <v>2425</v>
      </c>
    </row>
    <row r="2474" spans="1:6" x14ac:dyDescent="0.25">
      <c r="A2474" t="str">
        <f>"60.0578"</f>
        <v>60.0578</v>
      </c>
      <c r="B2474" t="s">
        <v>2426</v>
      </c>
      <c r="C2474" t="s">
        <v>38</v>
      </c>
      <c r="D2474" t="s">
        <v>8</v>
      </c>
      <c r="E2474" t="str">
        <f>"61.0214"</f>
        <v>61.0214</v>
      </c>
      <c r="F2474" t="s">
        <v>2427</v>
      </c>
    </row>
    <row r="2475" spans="1:6" x14ac:dyDescent="0.25">
      <c r="A2475" t="str">
        <f>"60.0579"</f>
        <v>60.0579</v>
      </c>
      <c r="B2475" t="s">
        <v>2428</v>
      </c>
      <c r="C2475" t="s">
        <v>38</v>
      </c>
      <c r="D2475" t="s">
        <v>8</v>
      </c>
      <c r="E2475" t="str">
        <f>"61.2706"</f>
        <v>61.2706</v>
      </c>
      <c r="F2475" t="s">
        <v>2429</v>
      </c>
    </row>
    <row r="2476" spans="1:6" x14ac:dyDescent="0.25">
      <c r="A2476" t="str">
        <f>"60.0580"</f>
        <v>60.0580</v>
      </c>
      <c r="B2476" t="s">
        <v>2430</v>
      </c>
      <c r="C2476" t="s">
        <v>38</v>
      </c>
      <c r="D2476" t="s">
        <v>11</v>
      </c>
      <c r="E2476" t="str">
        <f>"61.2611"</f>
        <v>61.2611</v>
      </c>
      <c r="F2476" t="s">
        <v>2430</v>
      </c>
    </row>
    <row r="2477" spans="1:6" x14ac:dyDescent="0.25">
      <c r="A2477" t="str">
        <f>"60.0581"</f>
        <v>60.0581</v>
      </c>
      <c r="B2477" t="s">
        <v>2431</v>
      </c>
      <c r="C2477" t="s">
        <v>38</v>
      </c>
      <c r="D2477" t="s">
        <v>8</v>
      </c>
      <c r="E2477" t="str">
        <f>"61.0818"</f>
        <v>61.0818</v>
      </c>
      <c r="F2477" t="s">
        <v>2432</v>
      </c>
    </row>
    <row r="2478" spans="1:6" x14ac:dyDescent="0.25">
      <c r="A2478" t="str">
        <f>"60.0582"</f>
        <v>60.0582</v>
      </c>
      <c r="B2478" t="s">
        <v>2433</v>
      </c>
      <c r="C2478" t="s">
        <v>38</v>
      </c>
      <c r="D2478" t="s">
        <v>8</v>
      </c>
      <c r="E2478" t="str">
        <f>"61.0216"</f>
        <v>61.0216</v>
      </c>
      <c r="F2478" t="s">
        <v>2434</v>
      </c>
    </row>
    <row r="2479" spans="1:6" x14ac:dyDescent="0.25">
      <c r="A2479" t="str">
        <f>"60.0583"</f>
        <v>60.0583</v>
      </c>
      <c r="B2479" t="s">
        <v>2435</v>
      </c>
      <c r="C2479" t="s">
        <v>38</v>
      </c>
      <c r="D2479" t="s">
        <v>8</v>
      </c>
      <c r="E2479" t="str">
        <f>"61.2612"</f>
        <v>61.2612</v>
      </c>
      <c r="F2479" t="s">
        <v>2436</v>
      </c>
    </row>
    <row r="2480" spans="1:6" x14ac:dyDescent="0.25">
      <c r="A2480" t="str">
        <f>"60.0584"</f>
        <v>60.0584</v>
      </c>
      <c r="B2480" t="s">
        <v>2437</v>
      </c>
      <c r="C2480" t="s">
        <v>38</v>
      </c>
      <c r="D2480" t="s">
        <v>8</v>
      </c>
      <c r="E2480" t="str">
        <f>"61.1107"</f>
        <v>61.1107</v>
      </c>
      <c r="F2480" t="s">
        <v>2438</v>
      </c>
    </row>
    <row r="2481" spans="1:6" x14ac:dyDescent="0.25">
      <c r="A2481" t="str">
        <f>"60.0599"</f>
        <v>60.0599</v>
      </c>
      <c r="B2481" t="s">
        <v>2439</v>
      </c>
      <c r="C2481" t="s">
        <v>1512</v>
      </c>
      <c r="D2481" t="s">
        <v>11</v>
      </c>
      <c r="E2481" t="str">
        <f>"60.0599"</f>
        <v>60.0599</v>
      </c>
      <c r="F2481" t="s">
        <v>1512</v>
      </c>
    </row>
    <row r="2482" spans="1:6" x14ac:dyDescent="0.25">
      <c r="A2482" t="str">
        <f>"60.06"</f>
        <v>60.06</v>
      </c>
      <c r="B2482" t="s">
        <v>2440</v>
      </c>
      <c r="C2482" t="s">
        <v>38</v>
      </c>
      <c r="D2482" t="s">
        <v>8</v>
      </c>
      <c r="E2482" t="str">
        <f>"61.22"</f>
        <v>61.22</v>
      </c>
      <c r="F2482" t="s">
        <v>2441</v>
      </c>
    </row>
    <row r="2483" spans="1:6" x14ac:dyDescent="0.25">
      <c r="A2483" t="str">
        <f>"60.0601"</f>
        <v>60.0601</v>
      </c>
      <c r="B2483" t="s">
        <v>2442</v>
      </c>
      <c r="C2483" t="s">
        <v>1512</v>
      </c>
      <c r="D2483" t="s">
        <v>11</v>
      </c>
      <c r="E2483" t="str">
        <f>"60.0601"</f>
        <v>60.0601</v>
      </c>
      <c r="F2483" t="s">
        <v>2443</v>
      </c>
    </row>
    <row r="2484" spans="1:6" x14ac:dyDescent="0.25">
      <c r="A2484" t="str">
        <f>"60.0602"</f>
        <v>60.0602</v>
      </c>
      <c r="B2484" t="s">
        <v>2444</v>
      </c>
      <c r="C2484" t="s">
        <v>1512</v>
      </c>
      <c r="D2484" t="s">
        <v>11</v>
      </c>
      <c r="E2484" t="str">
        <f>"60.0602"</f>
        <v>60.0602</v>
      </c>
      <c r="F2484" t="s">
        <v>2443</v>
      </c>
    </row>
    <row r="2485" spans="1:6" x14ac:dyDescent="0.25">
      <c r="C2485" t="s">
        <v>26</v>
      </c>
      <c r="D2485" t="s">
        <v>11</v>
      </c>
      <c r="E2485" t="str">
        <f>"60.07"</f>
        <v>60.07</v>
      </c>
      <c r="F2485" t="s">
        <v>2445</v>
      </c>
    </row>
    <row r="2486" spans="1:6" x14ac:dyDescent="0.25">
      <c r="C2486" t="s">
        <v>26</v>
      </c>
      <c r="D2486" t="s">
        <v>11</v>
      </c>
      <c r="E2486" t="str">
        <f>"60.0701"</f>
        <v>60.0701</v>
      </c>
      <c r="F2486" t="s">
        <v>2446</v>
      </c>
    </row>
    <row r="2487" spans="1:6" x14ac:dyDescent="0.25">
      <c r="C2487" t="s">
        <v>26</v>
      </c>
      <c r="D2487" t="s">
        <v>11</v>
      </c>
      <c r="E2487" t="str">
        <f>"60.0702"</f>
        <v>60.0702</v>
      </c>
      <c r="F2487" t="s">
        <v>2447</v>
      </c>
    </row>
    <row r="2488" spans="1:6" x14ac:dyDescent="0.25">
      <c r="C2488" t="s">
        <v>26</v>
      </c>
      <c r="D2488" t="s">
        <v>11</v>
      </c>
      <c r="E2488" t="str">
        <f>"60.0703"</f>
        <v>60.0703</v>
      </c>
      <c r="F2488" t="s">
        <v>2448</v>
      </c>
    </row>
    <row r="2489" spans="1:6" x14ac:dyDescent="0.25">
      <c r="C2489" t="s">
        <v>26</v>
      </c>
      <c r="D2489" t="s">
        <v>11</v>
      </c>
      <c r="E2489" t="str">
        <f>"60.0704"</f>
        <v>60.0704</v>
      </c>
      <c r="F2489" t="s">
        <v>2449</v>
      </c>
    </row>
    <row r="2490" spans="1:6" x14ac:dyDescent="0.25">
      <c r="C2490" t="s">
        <v>26</v>
      </c>
      <c r="D2490" t="s">
        <v>11</v>
      </c>
      <c r="E2490" t="str">
        <f>"60.0705"</f>
        <v>60.0705</v>
      </c>
      <c r="F2490" t="s">
        <v>2450</v>
      </c>
    </row>
    <row r="2491" spans="1:6" x14ac:dyDescent="0.25">
      <c r="C2491" t="s">
        <v>26</v>
      </c>
      <c r="D2491" t="s">
        <v>11</v>
      </c>
      <c r="E2491" t="str">
        <f>"60.0706"</f>
        <v>60.0706</v>
      </c>
      <c r="F2491" t="s">
        <v>2451</v>
      </c>
    </row>
    <row r="2492" spans="1:6" x14ac:dyDescent="0.25">
      <c r="C2492" t="s">
        <v>26</v>
      </c>
      <c r="D2492" t="s">
        <v>11</v>
      </c>
      <c r="E2492" t="str">
        <f>"60.0707"</f>
        <v>60.0707</v>
      </c>
      <c r="F2492" t="s">
        <v>2452</v>
      </c>
    </row>
    <row r="2493" spans="1:6" x14ac:dyDescent="0.25">
      <c r="C2493" t="s">
        <v>26</v>
      </c>
      <c r="D2493" t="s">
        <v>11</v>
      </c>
      <c r="E2493" t="str">
        <f>"60.0708"</f>
        <v>60.0708</v>
      </c>
      <c r="F2493" t="s">
        <v>2453</v>
      </c>
    </row>
    <row r="2494" spans="1:6" x14ac:dyDescent="0.25">
      <c r="C2494" t="s">
        <v>26</v>
      </c>
      <c r="D2494" t="s">
        <v>11</v>
      </c>
      <c r="E2494" t="str">
        <f>"60.0709"</f>
        <v>60.0709</v>
      </c>
      <c r="F2494" t="s">
        <v>2454</v>
      </c>
    </row>
    <row r="2495" spans="1:6" x14ac:dyDescent="0.25">
      <c r="C2495" t="s">
        <v>26</v>
      </c>
      <c r="D2495" t="s">
        <v>11</v>
      </c>
      <c r="E2495" t="str">
        <f>"60.0710"</f>
        <v>60.0710</v>
      </c>
      <c r="F2495" t="s">
        <v>2455</v>
      </c>
    </row>
    <row r="2496" spans="1:6" x14ac:dyDescent="0.25">
      <c r="C2496" t="s">
        <v>26</v>
      </c>
      <c r="D2496" t="s">
        <v>11</v>
      </c>
      <c r="E2496" t="str">
        <f>"60.0711"</f>
        <v>60.0711</v>
      </c>
      <c r="F2496" t="s">
        <v>2456</v>
      </c>
    </row>
    <row r="2497" spans="3:6" x14ac:dyDescent="0.25">
      <c r="C2497" t="s">
        <v>26</v>
      </c>
      <c r="D2497" t="s">
        <v>11</v>
      </c>
      <c r="E2497" t="str">
        <f>"60.0712"</f>
        <v>60.0712</v>
      </c>
      <c r="F2497" t="s">
        <v>2457</v>
      </c>
    </row>
    <row r="2498" spans="3:6" x14ac:dyDescent="0.25">
      <c r="C2498" t="s">
        <v>26</v>
      </c>
      <c r="D2498" t="s">
        <v>11</v>
      </c>
      <c r="E2498" t="str">
        <f>"60.0713"</f>
        <v>60.0713</v>
      </c>
      <c r="F2498" t="s">
        <v>2458</v>
      </c>
    </row>
    <row r="2499" spans="3:6" x14ac:dyDescent="0.25">
      <c r="C2499" t="s">
        <v>26</v>
      </c>
      <c r="D2499" t="s">
        <v>11</v>
      </c>
      <c r="E2499" t="str">
        <f>"60.0714"</f>
        <v>60.0714</v>
      </c>
      <c r="F2499" t="s">
        <v>2459</v>
      </c>
    </row>
    <row r="2500" spans="3:6" x14ac:dyDescent="0.25">
      <c r="C2500" t="s">
        <v>26</v>
      </c>
      <c r="D2500" t="s">
        <v>11</v>
      </c>
      <c r="E2500" t="str">
        <f>"60.0715"</f>
        <v>60.0715</v>
      </c>
      <c r="F2500" t="s">
        <v>2460</v>
      </c>
    </row>
    <row r="2501" spans="3:6" x14ac:dyDescent="0.25">
      <c r="C2501" t="s">
        <v>26</v>
      </c>
      <c r="D2501" t="s">
        <v>11</v>
      </c>
      <c r="E2501" t="str">
        <f>"60.0716"</f>
        <v>60.0716</v>
      </c>
      <c r="F2501" t="s">
        <v>2461</v>
      </c>
    </row>
    <row r="2502" spans="3:6" x14ac:dyDescent="0.25">
      <c r="C2502" t="s">
        <v>26</v>
      </c>
      <c r="D2502" t="s">
        <v>11</v>
      </c>
      <c r="E2502" t="str">
        <f>"60.0717"</f>
        <v>60.0717</v>
      </c>
      <c r="F2502" t="s">
        <v>2462</v>
      </c>
    </row>
    <row r="2503" spans="3:6" x14ac:dyDescent="0.25">
      <c r="C2503" t="s">
        <v>26</v>
      </c>
      <c r="D2503" t="s">
        <v>11</v>
      </c>
      <c r="E2503" t="str">
        <f>"60.0718"</f>
        <v>60.0718</v>
      </c>
      <c r="F2503" t="s">
        <v>2463</v>
      </c>
    </row>
    <row r="2504" spans="3:6" x14ac:dyDescent="0.25">
      <c r="C2504" t="s">
        <v>26</v>
      </c>
      <c r="D2504" t="s">
        <v>11</v>
      </c>
      <c r="E2504" t="str">
        <f>"60.0719"</f>
        <v>60.0719</v>
      </c>
      <c r="F2504" t="s">
        <v>2464</v>
      </c>
    </row>
    <row r="2505" spans="3:6" x14ac:dyDescent="0.25">
      <c r="C2505" t="s">
        <v>26</v>
      </c>
      <c r="D2505" t="s">
        <v>11</v>
      </c>
      <c r="E2505" t="str">
        <f>"60.0720"</f>
        <v>60.0720</v>
      </c>
      <c r="F2505" t="s">
        <v>2465</v>
      </c>
    </row>
    <row r="2506" spans="3:6" x14ac:dyDescent="0.25">
      <c r="C2506" t="s">
        <v>26</v>
      </c>
      <c r="D2506" t="s">
        <v>11</v>
      </c>
      <c r="E2506" t="str">
        <f>"60.0721"</f>
        <v>60.0721</v>
      </c>
      <c r="F2506" t="s">
        <v>2466</v>
      </c>
    </row>
    <row r="2507" spans="3:6" x14ac:dyDescent="0.25">
      <c r="C2507" t="s">
        <v>26</v>
      </c>
      <c r="D2507" t="s">
        <v>11</v>
      </c>
      <c r="E2507" t="str">
        <f>"60.0722"</f>
        <v>60.0722</v>
      </c>
      <c r="F2507" t="s">
        <v>2467</v>
      </c>
    </row>
    <row r="2508" spans="3:6" x14ac:dyDescent="0.25">
      <c r="C2508" t="s">
        <v>26</v>
      </c>
      <c r="D2508" t="s">
        <v>11</v>
      </c>
      <c r="E2508" t="str">
        <f>"60.0723"</f>
        <v>60.0723</v>
      </c>
      <c r="F2508" t="s">
        <v>2468</v>
      </c>
    </row>
    <row r="2509" spans="3:6" x14ac:dyDescent="0.25">
      <c r="C2509" t="s">
        <v>26</v>
      </c>
      <c r="D2509" t="s">
        <v>11</v>
      </c>
      <c r="E2509" t="str">
        <f>"60.0724"</f>
        <v>60.0724</v>
      </c>
      <c r="F2509" t="s">
        <v>2469</v>
      </c>
    </row>
    <row r="2510" spans="3:6" x14ac:dyDescent="0.25">
      <c r="C2510" t="s">
        <v>26</v>
      </c>
      <c r="D2510" t="s">
        <v>11</v>
      </c>
      <c r="E2510" t="str">
        <f>"60.0725"</f>
        <v>60.0725</v>
      </c>
      <c r="F2510" t="s">
        <v>2470</v>
      </c>
    </row>
    <row r="2511" spans="3:6" x14ac:dyDescent="0.25">
      <c r="C2511" t="s">
        <v>26</v>
      </c>
      <c r="D2511" t="s">
        <v>11</v>
      </c>
      <c r="E2511" t="str">
        <f>"60.0726"</f>
        <v>60.0726</v>
      </c>
      <c r="F2511" t="s">
        <v>2471</v>
      </c>
    </row>
    <row r="2512" spans="3:6" x14ac:dyDescent="0.25">
      <c r="C2512" t="s">
        <v>26</v>
      </c>
      <c r="D2512" t="s">
        <v>11</v>
      </c>
      <c r="E2512" t="str">
        <f>"60.0727"</f>
        <v>60.0727</v>
      </c>
      <c r="F2512" t="s">
        <v>2472</v>
      </c>
    </row>
    <row r="2513" spans="3:6" x14ac:dyDescent="0.25">
      <c r="C2513" t="s">
        <v>26</v>
      </c>
      <c r="D2513" t="s">
        <v>11</v>
      </c>
      <c r="E2513" t="str">
        <f>"60.0728"</f>
        <v>60.0728</v>
      </c>
      <c r="F2513" t="s">
        <v>2473</v>
      </c>
    </row>
    <row r="2514" spans="3:6" x14ac:dyDescent="0.25">
      <c r="C2514" t="s">
        <v>26</v>
      </c>
      <c r="D2514" t="s">
        <v>11</v>
      </c>
      <c r="E2514" t="str">
        <f>"60.0729"</f>
        <v>60.0729</v>
      </c>
      <c r="F2514" t="s">
        <v>2474</v>
      </c>
    </row>
    <row r="2515" spans="3:6" x14ac:dyDescent="0.25">
      <c r="C2515" t="s">
        <v>26</v>
      </c>
      <c r="D2515" t="s">
        <v>11</v>
      </c>
      <c r="E2515" t="str">
        <f>"60.0730"</f>
        <v>60.0730</v>
      </c>
      <c r="F2515" t="s">
        <v>2475</v>
      </c>
    </row>
    <row r="2516" spans="3:6" x14ac:dyDescent="0.25">
      <c r="C2516" t="s">
        <v>26</v>
      </c>
      <c r="D2516" t="s">
        <v>11</v>
      </c>
      <c r="E2516" t="str">
        <f>"60.0731"</f>
        <v>60.0731</v>
      </c>
      <c r="F2516" t="s">
        <v>2476</v>
      </c>
    </row>
    <row r="2517" spans="3:6" x14ac:dyDescent="0.25">
      <c r="C2517" t="s">
        <v>26</v>
      </c>
      <c r="D2517" t="s">
        <v>11</v>
      </c>
      <c r="E2517" t="str">
        <f>"60.0732"</f>
        <v>60.0732</v>
      </c>
      <c r="F2517" t="s">
        <v>2477</v>
      </c>
    </row>
    <row r="2518" spans="3:6" x14ac:dyDescent="0.25">
      <c r="C2518" t="s">
        <v>26</v>
      </c>
      <c r="D2518" t="s">
        <v>11</v>
      </c>
      <c r="E2518" t="str">
        <f>"60.0733"</f>
        <v>60.0733</v>
      </c>
      <c r="F2518" t="s">
        <v>2478</v>
      </c>
    </row>
    <row r="2519" spans="3:6" x14ac:dyDescent="0.25">
      <c r="C2519" t="s">
        <v>26</v>
      </c>
      <c r="D2519" t="s">
        <v>11</v>
      </c>
      <c r="E2519" t="str">
        <f>"60.0734"</f>
        <v>60.0734</v>
      </c>
      <c r="F2519" t="s">
        <v>2479</v>
      </c>
    </row>
    <row r="2520" spans="3:6" x14ac:dyDescent="0.25">
      <c r="C2520" t="s">
        <v>26</v>
      </c>
      <c r="D2520" t="s">
        <v>11</v>
      </c>
      <c r="E2520" t="str">
        <f>"60.0735"</f>
        <v>60.0735</v>
      </c>
      <c r="F2520" t="s">
        <v>2480</v>
      </c>
    </row>
    <row r="2521" spans="3:6" x14ac:dyDescent="0.25">
      <c r="C2521" t="s">
        <v>26</v>
      </c>
      <c r="D2521" t="s">
        <v>11</v>
      </c>
      <c r="E2521" t="str">
        <f>"60.0736"</f>
        <v>60.0736</v>
      </c>
      <c r="F2521" t="s">
        <v>2481</v>
      </c>
    </row>
    <row r="2522" spans="3:6" x14ac:dyDescent="0.25">
      <c r="C2522" t="s">
        <v>26</v>
      </c>
      <c r="D2522" t="s">
        <v>11</v>
      </c>
      <c r="E2522" t="str">
        <f>"60.0737"</f>
        <v>60.0737</v>
      </c>
      <c r="F2522" t="s">
        <v>2482</v>
      </c>
    </row>
    <row r="2523" spans="3:6" x14ac:dyDescent="0.25">
      <c r="C2523" t="s">
        <v>26</v>
      </c>
      <c r="D2523" t="s">
        <v>11</v>
      </c>
      <c r="E2523" t="str">
        <f>"60.0738"</f>
        <v>60.0738</v>
      </c>
      <c r="F2523" t="s">
        <v>2483</v>
      </c>
    </row>
    <row r="2524" spans="3:6" x14ac:dyDescent="0.25">
      <c r="C2524" t="s">
        <v>26</v>
      </c>
      <c r="D2524" t="s">
        <v>11</v>
      </c>
      <c r="E2524" t="str">
        <f>"60.0739"</f>
        <v>60.0739</v>
      </c>
      <c r="F2524" t="s">
        <v>2484</v>
      </c>
    </row>
    <row r="2525" spans="3:6" x14ac:dyDescent="0.25">
      <c r="C2525" t="s">
        <v>26</v>
      </c>
      <c r="D2525" t="s">
        <v>11</v>
      </c>
      <c r="E2525" t="str">
        <f>"60.0740"</f>
        <v>60.0740</v>
      </c>
      <c r="F2525" t="s">
        <v>2485</v>
      </c>
    </row>
    <row r="2526" spans="3:6" x14ac:dyDescent="0.25">
      <c r="C2526" t="s">
        <v>26</v>
      </c>
      <c r="D2526" t="s">
        <v>11</v>
      </c>
      <c r="E2526" t="str">
        <f>"60.0741"</f>
        <v>60.0741</v>
      </c>
      <c r="F2526" t="s">
        <v>2486</v>
      </c>
    </row>
    <row r="2527" spans="3:6" x14ac:dyDescent="0.25">
      <c r="C2527" t="s">
        <v>26</v>
      </c>
      <c r="D2527" t="s">
        <v>11</v>
      </c>
      <c r="E2527" t="str">
        <f>"60.0742"</f>
        <v>60.0742</v>
      </c>
      <c r="F2527" t="s">
        <v>2487</v>
      </c>
    </row>
    <row r="2528" spans="3:6" x14ac:dyDescent="0.25">
      <c r="C2528" t="s">
        <v>26</v>
      </c>
      <c r="D2528" t="s">
        <v>11</v>
      </c>
      <c r="E2528" t="str">
        <f>"60.0743"</f>
        <v>60.0743</v>
      </c>
      <c r="F2528" t="s">
        <v>2488</v>
      </c>
    </row>
    <row r="2529" spans="3:6" x14ac:dyDescent="0.25">
      <c r="C2529" t="s">
        <v>26</v>
      </c>
      <c r="D2529" t="s">
        <v>11</v>
      </c>
      <c r="E2529" t="str">
        <f>"60.0744"</f>
        <v>60.0744</v>
      </c>
      <c r="F2529" t="s">
        <v>2489</v>
      </c>
    </row>
    <row r="2530" spans="3:6" x14ac:dyDescent="0.25">
      <c r="C2530" t="s">
        <v>26</v>
      </c>
      <c r="D2530" t="s">
        <v>11</v>
      </c>
      <c r="E2530" t="str">
        <f>"60.0745"</f>
        <v>60.0745</v>
      </c>
      <c r="F2530" t="s">
        <v>2490</v>
      </c>
    </row>
    <row r="2531" spans="3:6" x14ac:dyDescent="0.25">
      <c r="C2531" t="s">
        <v>26</v>
      </c>
      <c r="D2531" t="s">
        <v>11</v>
      </c>
      <c r="E2531" t="str">
        <f>"60.0746"</f>
        <v>60.0746</v>
      </c>
      <c r="F2531" t="s">
        <v>2491</v>
      </c>
    </row>
    <row r="2532" spans="3:6" x14ac:dyDescent="0.25">
      <c r="C2532" t="s">
        <v>26</v>
      </c>
      <c r="D2532" t="s">
        <v>11</v>
      </c>
      <c r="E2532" t="str">
        <f>"60.0747"</f>
        <v>60.0747</v>
      </c>
      <c r="F2532" t="s">
        <v>2492</v>
      </c>
    </row>
    <row r="2533" spans="3:6" x14ac:dyDescent="0.25">
      <c r="C2533" t="s">
        <v>26</v>
      </c>
      <c r="D2533" t="s">
        <v>11</v>
      </c>
      <c r="E2533" t="str">
        <f>"60.0748"</f>
        <v>60.0748</v>
      </c>
      <c r="F2533" t="s">
        <v>2493</v>
      </c>
    </row>
    <row r="2534" spans="3:6" x14ac:dyDescent="0.25">
      <c r="C2534" t="s">
        <v>26</v>
      </c>
      <c r="D2534" t="s">
        <v>11</v>
      </c>
      <c r="E2534" t="str">
        <f>"60.0749"</f>
        <v>60.0749</v>
      </c>
      <c r="F2534" t="s">
        <v>2494</v>
      </c>
    </row>
    <row r="2535" spans="3:6" x14ac:dyDescent="0.25">
      <c r="C2535" t="s">
        <v>26</v>
      </c>
      <c r="D2535" t="s">
        <v>11</v>
      </c>
      <c r="E2535" t="str">
        <f>"60.0750"</f>
        <v>60.0750</v>
      </c>
      <c r="F2535" t="s">
        <v>2495</v>
      </c>
    </row>
    <row r="2536" spans="3:6" x14ac:dyDescent="0.25">
      <c r="C2536" t="s">
        <v>26</v>
      </c>
      <c r="D2536" t="s">
        <v>11</v>
      </c>
      <c r="E2536" t="str">
        <f>"60.0751"</f>
        <v>60.0751</v>
      </c>
      <c r="F2536" t="s">
        <v>2496</v>
      </c>
    </row>
    <row r="2537" spans="3:6" x14ac:dyDescent="0.25">
      <c r="C2537" t="s">
        <v>26</v>
      </c>
      <c r="D2537" t="s">
        <v>11</v>
      </c>
      <c r="E2537" t="str">
        <f>"60.0799"</f>
        <v>60.0799</v>
      </c>
      <c r="F2537" t="s">
        <v>2497</v>
      </c>
    </row>
    <row r="2538" spans="3:6" x14ac:dyDescent="0.25">
      <c r="C2538" t="s">
        <v>26</v>
      </c>
      <c r="D2538" t="s">
        <v>11</v>
      </c>
      <c r="E2538" t="str">
        <f>"60.08"</f>
        <v>60.08</v>
      </c>
      <c r="F2538" t="s">
        <v>2498</v>
      </c>
    </row>
    <row r="2539" spans="3:6" x14ac:dyDescent="0.25">
      <c r="C2539" t="s">
        <v>26</v>
      </c>
      <c r="D2539" t="s">
        <v>11</v>
      </c>
      <c r="E2539" t="str">
        <f>"60.0801"</f>
        <v>60.0801</v>
      </c>
      <c r="F2539" t="s">
        <v>2499</v>
      </c>
    </row>
    <row r="2540" spans="3:6" x14ac:dyDescent="0.25">
      <c r="C2540" t="s">
        <v>26</v>
      </c>
      <c r="D2540" t="s">
        <v>11</v>
      </c>
      <c r="E2540" t="str">
        <f>"60.0802"</f>
        <v>60.0802</v>
      </c>
      <c r="F2540" t="s">
        <v>2500</v>
      </c>
    </row>
    <row r="2541" spans="3:6" x14ac:dyDescent="0.25">
      <c r="C2541" t="s">
        <v>26</v>
      </c>
      <c r="D2541" t="s">
        <v>11</v>
      </c>
      <c r="E2541" t="str">
        <f>"60.0803"</f>
        <v>60.0803</v>
      </c>
      <c r="F2541" t="s">
        <v>2501</v>
      </c>
    </row>
    <row r="2542" spans="3:6" x14ac:dyDescent="0.25">
      <c r="C2542" t="s">
        <v>26</v>
      </c>
      <c r="D2542" t="s">
        <v>11</v>
      </c>
      <c r="E2542" t="str">
        <f>"60.0804"</f>
        <v>60.0804</v>
      </c>
      <c r="F2542" t="s">
        <v>2502</v>
      </c>
    </row>
    <row r="2543" spans="3:6" x14ac:dyDescent="0.25">
      <c r="C2543" t="s">
        <v>26</v>
      </c>
      <c r="D2543" t="s">
        <v>11</v>
      </c>
      <c r="E2543" t="str">
        <f>"60.0805"</f>
        <v>60.0805</v>
      </c>
      <c r="F2543" t="s">
        <v>2503</v>
      </c>
    </row>
    <row r="2544" spans="3:6" x14ac:dyDescent="0.25">
      <c r="C2544" t="s">
        <v>26</v>
      </c>
      <c r="D2544" t="s">
        <v>11</v>
      </c>
      <c r="E2544" t="str">
        <f>"60.0806"</f>
        <v>60.0806</v>
      </c>
      <c r="F2544" t="s">
        <v>2504</v>
      </c>
    </row>
    <row r="2545" spans="3:6" x14ac:dyDescent="0.25">
      <c r="C2545" t="s">
        <v>26</v>
      </c>
      <c r="D2545" t="s">
        <v>11</v>
      </c>
      <c r="E2545" t="str">
        <f>"60.0807"</f>
        <v>60.0807</v>
      </c>
      <c r="F2545" t="s">
        <v>2505</v>
      </c>
    </row>
    <row r="2546" spans="3:6" x14ac:dyDescent="0.25">
      <c r="C2546" t="s">
        <v>26</v>
      </c>
      <c r="D2546" t="s">
        <v>11</v>
      </c>
      <c r="E2546" t="str">
        <f>"60.0808"</f>
        <v>60.0808</v>
      </c>
      <c r="F2546" t="s">
        <v>2506</v>
      </c>
    </row>
    <row r="2547" spans="3:6" x14ac:dyDescent="0.25">
      <c r="C2547" t="s">
        <v>26</v>
      </c>
      <c r="D2547" t="s">
        <v>11</v>
      </c>
      <c r="E2547" t="str">
        <f>"60.0809"</f>
        <v>60.0809</v>
      </c>
      <c r="F2547" t="s">
        <v>2507</v>
      </c>
    </row>
    <row r="2548" spans="3:6" x14ac:dyDescent="0.25">
      <c r="C2548" t="s">
        <v>26</v>
      </c>
      <c r="D2548" t="s">
        <v>11</v>
      </c>
      <c r="E2548" t="str">
        <f>"60.0810"</f>
        <v>60.0810</v>
      </c>
      <c r="F2548" t="s">
        <v>2508</v>
      </c>
    </row>
    <row r="2549" spans="3:6" x14ac:dyDescent="0.25">
      <c r="C2549" t="s">
        <v>26</v>
      </c>
      <c r="D2549" t="s">
        <v>11</v>
      </c>
      <c r="E2549" t="str">
        <f>"60.0811"</f>
        <v>60.0811</v>
      </c>
      <c r="F2549" t="s">
        <v>2509</v>
      </c>
    </row>
    <row r="2550" spans="3:6" x14ac:dyDescent="0.25">
      <c r="C2550" t="s">
        <v>26</v>
      </c>
      <c r="D2550" t="s">
        <v>11</v>
      </c>
      <c r="E2550" t="str">
        <f>"60.0812"</f>
        <v>60.0812</v>
      </c>
      <c r="F2550" t="s">
        <v>2510</v>
      </c>
    </row>
    <row r="2551" spans="3:6" x14ac:dyDescent="0.25">
      <c r="C2551" t="s">
        <v>26</v>
      </c>
      <c r="D2551" t="s">
        <v>11</v>
      </c>
      <c r="E2551" t="str">
        <f>"60.0813"</f>
        <v>60.0813</v>
      </c>
      <c r="F2551" t="s">
        <v>2511</v>
      </c>
    </row>
    <row r="2552" spans="3:6" x14ac:dyDescent="0.25">
      <c r="C2552" t="s">
        <v>26</v>
      </c>
      <c r="D2552" t="s">
        <v>11</v>
      </c>
      <c r="E2552" t="str">
        <f>"60.0814"</f>
        <v>60.0814</v>
      </c>
      <c r="F2552" t="s">
        <v>2512</v>
      </c>
    </row>
    <row r="2553" spans="3:6" x14ac:dyDescent="0.25">
      <c r="C2553" t="s">
        <v>26</v>
      </c>
      <c r="D2553" t="s">
        <v>11</v>
      </c>
      <c r="E2553" t="str">
        <f>"60.0815"</f>
        <v>60.0815</v>
      </c>
      <c r="F2553" t="s">
        <v>2513</v>
      </c>
    </row>
    <row r="2554" spans="3:6" x14ac:dyDescent="0.25">
      <c r="C2554" t="s">
        <v>26</v>
      </c>
      <c r="D2554" t="s">
        <v>11</v>
      </c>
      <c r="E2554" t="str">
        <f>"60.0816"</f>
        <v>60.0816</v>
      </c>
      <c r="F2554" t="s">
        <v>2514</v>
      </c>
    </row>
    <row r="2555" spans="3:6" x14ac:dyDescent="0.25">
      <c r="C2555" t="s">
        <v>26</v>
      </c>
      <c r="D2555" t="s">
        <v>11</v>
      </c>
      <c r="E2555" t="str">
        <f>"60.0817"</f>
        <v>60.0817</v>
      </c>
      <c r="F2555" t="s">
        <v>2515</v>
      </c>
    </row>
    <row r="2556" spans="3:6" x14ac:dyDescent="0.25">
      <c r="C2556" t="s">
        <v>26</v>
      </c>
      <c r="D2556" t="s">
        <v>11</v>
      </c>
      <c r="E2556" t="str">
        <f>"60.0818"</f>
        <v>60.0818</v>
      </c>
      <c r="F2556" t="s">
        <v>2516</v>
      </c>
    </row>
    <row r="2557" spans="3:6" x14ac:dyDescent="0.25">
      <c r="C2557" t="s">
        <v>26</v>
      </c>
      <c r="D2557" t="s">
        <v>11</v>
      </c>
      <c r="E2557" t="str">
        <f>"60.0819"</f>
        <v>60.0819</v>
      </c>
      <c r="F2557" t="s">
        <v>2517</v>
      </c>
    </row>
    <row r="2558" spans="3:6" x14ac:dyDescent="0.25">
      <c r="C2558" t="s">
        <v>26</v>
      </c>
      <c r="D2558" t="s">
        <v>11</v>
      </c>
      <c r="E2558" t="str">
        <f>"60.0820"</f>
        <v>60.0820</v>
      </c>
      <c r="F2558" t="s">
        <v>2518</v>
      </c>
    </row>
    <row r="2559" spans="3:6" x14ac:dyDescent="0.25">
      <c r="C2559" t="s">
        <v>26</v>
      </c>
      <c r="D2559" t="s">
        <v>11</v>
      </c>
      <c r="E2559" t="str">
        <f>"60.0821"</f>
        <v>60.0821</v>
      </c>
      <c r="F2559" t="s">
        <v>2519</v>
      </c>
    </row>
    <row r="2560" spans="3:6" x14ac:dyDescent="0.25">
      <c r="C2560" t="s">
        <v>26</v>
      </c>
      <c r="D2560" t="s">
        <v>11</v>
      </c>
      <c r="E2560" t="str">
        <f>"60.0822"</f>
        <v>60.0822</v>
      </c>
      <c r="F2560" t="s">
        <v>2520</v>
      </c>
    </row>
    <row r="2561" spans="3:6" x14ac:dyDescent="0.25">
      <c r="C2561" t="s">
        <v>26</v>
      </c>
      <c r="D2561" t="s">
        <v>11</v>
      </c>
      <c r="E2561" t="str">
        <f>"60.0823"</f>
        <v>60.0823</v>
      </c>
      <c r="F2561" t="s">
        <v>2521</v>
      </c>
    </row>
    <row r="2562" spans="3:6" x14ac:dyDescent="0.25">
      <c r="C2562" t="s">
        <v>26</v>
      </c>
      <c r="D2562" t="s">
        <v>11</v>
      </c>
      <c r="E2562" t="str">
        <f>"60.0824"</f>
        <v>60.0824</v>
      </c>
      <c r="F2562" t="s">
        <v>2522</v>
      </c>
    </row>
    <row r="2563" spans="3:6" x14ac:dyDescent="0.25">
      <c r="C2563" t="s">
        <v>26</v>
      </c>
      <c r="D2563" t="s">
        <v>11</v>
      </c>
      <c r="E2563" t="str">
        <f>"60.0825"</f>
        <v>60.0825</v>
      </c>
      <c r="F2563" t="s">
        <v>2523</v>
      </c>
    </row>
    <row r="2564" spans="3:6" x14ac:dyDescent="0.25">
      <c r="C2564" t="s">
        <v>26</v>
      </c>
      <c r="D2564" t="s">
        <v>11</v>
      </c>
      <c r="E2564" t="str">
        <f>"60.0826"</f>
        <v>60.0826</v>
      </c>
      <c r="F2564" t="s">
        <v>2524</v>
      </c>
    </row>
    <row r="2565" spans="3:6" x14ac:dyDescent="0.25">
      <c r="C2565" t="s">
        <v>26</v>
      </c>
      <c r="D2565" t="s">
        <v>11</v>
      </c>
      <c r="E2565" t="str">
        <f>"60.0827"</f>
        <v>60.0827</v>
      </c>
      <c r="F2565" t="s">
        <v>2525</v>
      </c>
    </row>
    <row r="2566" spans="3:6" x14ac:dyDescent="0.25">
      <c r="C2566" t="s">
        <v>26</v>
      </c>
      <c r="D2566" t="s">
        <v>11</v>
      </c>
      <c r="E2566" t="str">
        <f>"60.0828"</f>
        <v>60.0828</v>
      </c>
      <c r="F2566" t="s">
        <v>2526</v>
      </c>
    </row>
    <row r="2567" spans="3:6" x14ac:dyDescent="0.25">
      <c r="C2567" t="s">
        <v>26</v>
      </c>
      <c r="D2567" t="s">
        <v>11</v>
      </c>
      <c r="E2567" t="str">
        <f>"60.0829"</f>
        <v>60.0829</v>
      </c>
      <c r="F2567" t="s">
        <v>2527</v>
      </c>
    </row>
    <row r="2568" spans="3:6" x14ac:dyDescent="0.25">
      <c r="C2568" t="s">
        <v>26</v>
      </c>
      <c r="D2568" t="s">
        <v>11</v>
      </c>
      <c r="E2568" t="str">
        <f>"60.0830"</f>
        <v>60.0830</v>
      </c>
      <c r="F2568" t="s">
        <v>2528</v>
      </c>
    </row>
    <row r="2569" spans="3:6" x14ac:dyDescent="0.25">
      <c r="C2569" t="s">
        <v>26</v>
      </c>
      <c r="D2569" t="s">
        <v>11</v>
      </c>
      <c r="E2569" t="str">
        <f>"60.0831"</f>
        <v>60.0831</v>
      </c>
      <c r="F2569" t="s">
        <v>2529</v>
      </c>
    </row>
    <row r="2570" spans="3:6" x14ac:dyDescent="0.25">
      <c r="C2570" t="s">
        <v>26</v>
      </c>
      <c r="D2570" t="s">
        <v>11</v>
      </c>
      <c r="E2570" t="str">
        <f>"60.0832"</f>
        <v>60.0832</v>
      </c>
      <c r="F2570" t="s">
        <v>2530</v>
      </c>
    </row>
    <row r="2571" spans="3:6" x14ac:dyDescent="0.25">
      <c r="C2571" t="s">
        <v>26</v>
      </c>
      <c r="D2571" t="s">
        <v>11</v>
      </c>
      <c r="E2571" t="str">
        <f>"60.0899"</f>
        <v>60.0899</v>
      </c>
      <c r="F2571" t="s">
        <v>2531</v>
      </c>
    </row>
    <row r="2572" spans="3:6" x14ac:dyDescent="0.25">
      <c r="C2572" t="s">
        <v>26</v>
      </c>
      <c r="D2572" t="s">
        <v>11</v>
      </c>
      <c r="E2572" t="str">
        <f>"60.09"</f>
        <v>60.09</v>
      </c>
      <c r="F2572" t="s">
        <v>2532</v>
      </c>
    </row>
    <row r="2573" spans="3:6" x14ac:dyDescent="0.25">
      <c r="C2573" t="s">
        <v>26</v>
      </c>
      <c r="D2573" t="s">
        <v>11</v>
      </c>
      <c r="E2573" t="str">
        <f>"60.0901"</f>
        <v>60.0901</v>
      </c>
      <c r="F2573" t="s">
        <v>2533</v>
      </c>
    </row>
    <row r="2574" spans="3:6" x14ac:dyDescent="0.25">
      <c r="C2574" t="s">
        <v>26</v>
      </c>
      <c r="D2574" t="s">
        <v>11</v>
      </c>
      <c r="E2574" t="str">
        <f>"60.0902"</f>
        <v>60.0902</v>
      </c>
      <c r="F2574" t="s">
        <v>2534</v>
      </c>
    </row>
    <row r="2575" spans="3:6" x14ac:dyDescent="0.25">
      <c r="C2575" t="s">
        <v>26</v>
      </c>
      <c r="D2575" t="s">
        <v>11</v>
      </c>
      <c r="E2575" t="str">
        <f>"60.0903"</f>
        <v>60.0903</v>
      </c>
      <c r="F2575" t="s">
        <v>2535</v>
      </c>
    </row>
    <row r="2576" spans="3:6" x14ac:dyDescent="0.25">
      <c r="C2576" t="s">
        <v>26</v>
      </c>
      <c r="D2576" t="s">
        <v>11</v>
      </c>
      <c r="E2576" t="str">
        <f>"60.0904"</f>
        <v>60.0904</v>
      </c>
      <c r="F2576" t="s">
        <v>2536</v>
      </c>
    </row>
    <row r="2577" spans="3:6" x14ac:dyDescent="0.25">
      <c r="C2577" t="s">
        <v>26</v>
      </c>
      <c r="D2577" t="s">
        <v>11</v>
      </c>
      <c r="E2577" t="str">
        <f>"60.0905"</f>
        <v>60.0905</v>
      </c>
      <c r="F2577" t="s">
        <v>2537</v>
      </c>
    </row>
    <row r="2578" spans="3:6" x14ac:dyDescent="0.25">
      <c r="C2578" t="s">
        <v>26</v>
      </c>
      <c r="D2578" t="s">
        <v>11</v>
      </c>
      <c r="E2578" t="str">
        <f>"60.0906"</f>
        <v>60.0906</v>
      </c>
      <c r="F2578" t="s">
        <v>2538</v>
      </c>
    </row>
    <row r="2579" spans="3:6" x14ac:dyDescent="0.25">
      <c r="C2579" t="s">
        <v>26</v>
      </c>
      <c r="D2579" t="s">
        <v>11</v>
      </c>
      <c r="E2579" t="str">
        <f>"60.0907"</f>
        <v>60.0907</v>
      </c>
      <c r="F2579" t="s">
        <v>2539</v>
      </c>
    </row>
    <row r="2580" spans="3:6" x14ac:dyDescent="0.25">
      <c r="C2580" t="s">
        <v>26</v>
      </c>
      <c r="D2580" t="s">
        <v>11</v>
      </c>
      <c r="E2580" t="str">
        <f>"60.0908"</f>
        <v>60.0908</v>
      </c>
      <c r="F2580" t="s">
        <v>2540</v>
      </c>
    </row>
    <row r="2581" spans="3:6" x14ac:dyDescent="0.25">
      <c r="C2581" t="s">
        <v>26</v>
      </c>
      <c r="D2581" t="s">
        <v>11</v>
      </c>
      <c r="E2581" t="str">
        <f>"60.0909"</f>
        <v>60.0909</v>
      </c>
      <c r="F2581" t="s">
        <v>2541</v>
      </c>
    </row>
    <row r="2582" spans="3:6" x14ac:dyDescent="0.25">
      <c r="C2582" t="s">
        <v>26</v>
      </c>
      <c r="D2582" t="s">
        <v>11</v>
      </c>
      <c r="E2582" t="str">
        <f>"60.0910"</f>
        <v>60.0910</v>
      </c>
      <c r="F2582" t="s">
        <v>2542</v>
      </c>
    </row>
    <row r="2583" spans="3:6" x14ac:dyDescent="0.25">
      <c r="C2583" t="s">
        <v>26</v>
      </c>
      <c r="D2583" t="s">
        <v>11</v>
      </c>
      <c r="E2583" t="str">
        <f>"60.0911"</f>
        <v>60.0911</v>
      </c>
      <c r="F2583" t="s">
        <v>2543</v>
      </c>
    </row>
    <row r="2584" spans="3:6" x14ac:dyDescent="0.25">
      <c r="C2584" t="s">
        <v>26</v>
      </c>
      <c r="D2584" t="s">
        <v>11</v>
      </c>
      <c r="E2584" t="str">
        <f>"60.0912"</f>
        <v>60.0912</v>
      </c>
      <c r="F2584" t="s">
        <v>2544</v>
      </c>
    </row>
    <row r="2585" spans="3:6" x14ac:dyDescent="0.25">
      <c r="C2585" t="s">
        <v>26</v>
      </c>
      <c r="D2585" t="s">
        <v>11</v>
      </c>
      <c r="E2585" t="str">
        <f>"60.0913"</f>
        <v>60.0913</v>
      </c>
      <c r="F2585" t="s">
        <v>2545</v>
      </c>
    </row>
    <row r="2586" spans="3:6" x14ac:dyDescent="0.25">
      <c r="C2586" t="s">
        <v>26</v>
      </c>
      <c r="D2586" t="s">
        <v>11</v>
      </c>
      <c r="E2586" t="str">
        <f>"60.0914"</f>
        <v>60.0914</v>
      </c>
      <c r="F2586" t="s">
        <v>2546</v>
      </c>
    </row>
    <row r="2587" spans="3:6" x14ac:dyDescent="0.25">
      <c r="C2587" t="s">
        <v>26</v>
      </c>
      <c r="D2587" t="s">
        <v>11</v>
      </c>
      <c r="E2587" t="str">
        <f>"60.0915"</f>
        <v>60.0915</v>
      </c>
      <c r="F2587" t="s">
        <v>2547</v>
      </c>
    </row>
    <row r="2588" spans="3:6" x14ac:dyDescent="0.25">
      <c r="C2588" t="s">
        <v>26</v>
      </c>
      <c r="D2588" t="s">
        <v>11</v>
      </c>
      <c r="E2588" t="str">
        <f>"60.0916"</f>
        <v>60.0916</v>
      </c>
      <c r="F2588" t="s">
        <v>2548</v>
      </c>
    </row>
    <row r="2589" spans="3:6" x14ac:dyDescent="0.25">
      <c r="C2589" t="s">
        <v>26</v>
      </c>
      <c r="D2589" t="s">
        <v>11</v>
      </c>
      <c r="E2589" t="str">
        <f>"60.0917"</f>
        <v>60.0917</v>
      </c>
      <c r="F2589" t="s">
        <v>2549</v>
      </c>
    </row>
    <row r="2590" spans="3:6" x14ac:dyDescent="0.25">
      <c r="C2590" t="s">
        <v>26</v>
      </c>
      <c r="D2590" t="s">
        <v>11</v>
      </c>
      <c r="E2590" t="str">
        <f>"60.0918"</f>
        <v>60.0918</v>
      </c>
      <c r="F2590" t="s">
        <v>2550</v>
      </c>
    </row>
    <row r="2591" spans="3:6" x14ac:dyDescent="0.25">
      <c r="C2591" t="s">
        <v>26</v>
      </c>
      <c r="D2591" t="s">
        <v>11</v>
      </c>
      <c r="E2591" t="str">
        <f>"60.0919"</f>
        <v>60.0919</v>
      </c>
      <c r="F2591" t="s">
        <v>2551</v>
      </c>
    </row>
    <row r="2592" spans="3:6" x14ac:dyDescent="0.25">
      <c r="C2592" t="s">
        <v>26</v>
      </c>
      <c r="D2592" t="s">
        <v>11</v>
      </c>
      <c r="E2592" t="str">
        <f>"60.0920"</f>
        <v>60.0920</v>
      </c>
      <c r="F2592" t="s">
        <v>2552</v>
      </c>
    </row>
    <row r="2593" spans="3:6" x14ac:dyDescent="0.25">
      <c r="C2593" t="s">
        <v>26</v>
      </c>
      <c r="D2593" t="s">
        <v>11</v>
      </c>
      <c r="E2593" t="str">
        <f>"60.0999"</f>
        <v>60.0999</v>
      </c>
      <c r="F2593" t="s">
        <v>2553</v>
      </c>
    </row>
    <row r="2594" spans="3:6" x14ac:dyDescent="0.25">
      <c r="C2594" t="s">
        <v>26</v>
      </c>
      <c r="D2594" t="s">
        <v>11</v>
      </c>
      <c r="E2594" t="str">
        <f>"60.99"</f>
        <v>60.99</v>
      </c>
      <c r="F2594" t="s">
        <v>2554</v>
      </c>
    </row>
    <row r="2595" spans="3:6" x14ac:dyDescent="0.25">
      <c r="C2595" t="s">
        <v>26</v>
      </c>
      <c r="D2595" t="s">
        <v>11</v>
      </c>
      <c r="E2595" t="str">
        <f>"60.9999"</f>
        <v>60.9999</v>
      </c>
      <c r="F2595" t="s">
        <v>2554</v>
      </c>
    </row>
    <row r="2596" spans="3:6" x14ac:dyDescent="0.25">
      <c r="C2596" t="s">
        <v>26</v>
      </c>
      <c r="D2596" t="s">
        <v>11</v>
      </c>
      <c r="E2596" t="str">
        <f>"61"</f>
        <v>61</v>
      </c>
      <c r="F2596" t="s">
        <v>2555</v>
      </c>
    </row>
    <row r="2597" spans="3:6" x14ac:dyDescent="0.25">
      <c r="C2597" t="s">
        <v>26</v>
      </c>
      <c r="D2597" t="s">
        <v>11</v>
      </c>
      <c r="E2597" t="str">
        <f>"61.01"</f>
        <v>61.01</v>
      </c>
      <c r="F2597" t="s">
        <v>2556</v>
      </c>
    </row>
    <row r="2598" spans="3:6" x14ac:dyDescent="0.25">
      <c r="C2598" t="s">
        <v>26</v>
      </c>
      <c r="D2598" t="s">
        <v>11</v>
      </c>
      <c r="E2598" t="str">
        <f>"61.0101"</f>
        <v>61.0101</v>
      </c>
      <c r="F2598" t="s">
        <v>2557</v>
      </c>
    </row>
    <row r="2599" spans="3:6" x14ac:dyDescent="0.25">
      <c r="C2599" t="s">
        <v>26</v>
      </c>
      <c r="D2599" t="s">
        <v>11</v>
      </c>
      <c r="E2599" t="str">
        <f>"61.0102"</f>
        <v>61.0102</v>
      </c>
      <c r="F2599" t="s">
        <v>2558</v>
      </c>
    </row>
    <row r="2600" spans="3:6" x14ac:dyDescent="0.25">
      <c r="C2600" t="s">
        <v>26</v>
      </c>
      <c r="D2600" t="s">
        <v>11</v>
      </c>
      <c r="E2600" t="str">
        <f>"61.0103"</f>
        <v>61.0103</v>
      </c>
      <c r="F2600" t="s">
        <v>2559</v>
      </c>
    </row>
    <row r="2601" spans="3:6" x14ac:dyDescent="0.25">
      <c r="C2601" t="s">
        <v>26</v>
      </c>
      <c r="D2601" t="s">
        <v>11</v>
      </c>
      <c r="E2601" t="str">
        <f>"61.0104"</f>
        <v>61.0104</v>
      </c>
      <c r="F2601" t="s">
        <v>2560</v>
      </c>
    </row>
    <row r="2602" spans="3:6" x14ac:dyDescent="0.25">
      <c r="C2602" t="s">
        <v>26</v>
      </c>
      <c r="D2602" t="s">
        <v>11</v>
      </c>
      <c r="E2602" t="str">
        <f>"61.0105"</f>
        <v>61.0105</v>
      </c>
      <c r="F2602" t="s">
        <v>2561</v>
      </c>
    </row>
    <row r="2603" spans="3:6" x14ac:dyDescent="0.25">
      <c r="C2603" t="s">
        <v>26</v>
      </c>
      <c r="D2603" t="s">
        <v>11</v>
      </c>
      <c r="E2603" t="str">
        <f>"61.0106"</f>
        <v>61.0106</v>
      </c>
      <c r="F2603" t="s">
        <v>2562</v>
      </c>
    </row>
    <row r="2604" spans="3:6" x14ac:dyDescent="0.25">
      <c r="C2604" t="s">
        <v>26</v>
      </c>
      <c r="D2604" t="s">
        <v>11</v>
      </c>
      <c r="E2604" t="str">
        <f>"61.0107"</f>
        <v>61.0107</v>
      </c>
      <c r="F2604" t="s">
        <v>2563</v>
      </c>
    </row>
    <row r="2605" spans="3:6" x14ac:dyDescent="0.25">
      <c r="C2605" t="s">
        <v>26</v>
      </c>
      <c r="D2605" t="s">
        <v>11</v>
      </c>
      <c r="E2605" t="str">
        <f>"61.0108"</f>
        <v>61.0108</v>
      </c>
      <c r="F2605" t="s">
        <v>2564</v>
      </c>
    </row>
    <row r="2606" spans="3:6" x14ac:dyDescent="0.25">
      <c r="C2606" t="s">
        <v>26</v>
      </c>
      <c r="D2606" t="s">
        <v>11</v>
      </c>
      <c r="E2606" t="str">
        <f>"61.0109"</f>
        <v>61.0109</v>
      </c>
      <c r="F2606" t="s">
        <v>2565</v>
      </c>
    </row>
    <row r="2607" spans="3:6" x14ac:dyDescent="0.25">
      <c r="C2607" t="s">
        <v>26</v>
      </c>
      <c r="D2607" t="s">
        <v>11</v>
      </c>
      <c r="E2607" t="str">
        <f>"61.0110"</f>
        <v>61.0110</v>
      </c>
      <c r="F2607" t="s">
        <v>2566</v>
      </c>
    </row>
    <row r="2608" spans="3:6" x14ac:dyDescent="0.25">
      <c r="C2608" t="s">
        <v>26</v>
      </c>
      <c r="D2608" t="s">
        <v>11</v>
      </c>
      <c r="E2608" t="str">
        <f>"61.0111"</f>
        <v>61.0111</v>
      </c>
      <c r="F2608" t="s">
        <v>2567</v>
      </c>
    </row>
    <row r="2609" spans="3:6" x14ac:dyDescent="0.25">
      <c r="C2609" t="s">
        <v>26</v>
      </c>
      <c r="D2609" t="s">
        <v>11</v>
      </c>
      <c r="E2609" t="str">
        <f>"61.0112"</f>
        <v>61.0112</v>
      </c>
      <c r="F2609" t="s">
        <v>2568</v>
      </c>
    </row>
    <row r="2610" spans="3:6" x14ac:dyDescent="0.25">
      <c r="C2610" t="s">
        <v>26</v>
      </c>
      <c r="D2610" t="s">
        <v>11</v>
      </c>
      <c r="E2610" t="str">
        <f>"61.0113"</f>
        <v>61.0113</v>
      </c>
      <c r="F2610" t="s">
        <v>2569</v>
      </c>
    </row>
    <row r="2611" spans="3:6" x14ac:dyDescent="0.25">
      <c r="C2611" t="s">
        <v>26</v>
      </c>
      <c r="D2611" t="s">
        <v>11</v>
      </c>
      <c r="E2611" t="str">
        <f>"61.0114"</f>
        <v>61.0114</v>
      </c>
      <c r="F2611" t="s">
        <v>2570</v>
      </c>
    </row>
    <row r="2612" spans="3:6" x14ac:dyDescent="0.25">
      <c r="C2612" t="s">
        <v>26</v>
      </c>
      <c r="D2612" t="s">
        <v>11</v>
      </c>
      <c r="E2612" t="str">
        <f>"61.0115"</f>
        <v>61.0115</v>
      </c>
      <c r="F2612" t="s">
        <v>2571</v>
      </c>
    </row>
    <row r="2613" spans="3:6" x14ac:dyDescent="0.25">
      <c r="C2613" t="s">
        <v>26</v>
      </c>
      <c r="D2613" t="s">
        <v>11</v>
      </c>
      <c r="E2613" t="str">
        <f>"61.0116"</f>
        <v>61.0116</v>
      </c>
      <c r="F2613" t="s">
        <v>2572</v>
      </c>
    </row>
    <row r="2614" spans="3:6" x14ac:dyDescent="0.25">
      <c r="C2614" t="s">
        <v>26</v>
      </c>
      <c r="D2614" t="s">
        <v>11</v>
      </c>
      <c r="E2614" t="str">
        <f>"61.0117"</f>
        <v>61.0117</v>
      </c>
      <c r="F2614" t="s">
        <v>2573</v>
      </c>
    </row>
    <row r="2615" spans="3:6" x14ac:dyDescent="0.25">
      <c r="C2615" t="s">
        <v>26</v>
      </c>
      <c r="D2615" t="s">
        <v>11</v>
      </c>
      <c r="E2615" t="str">
        <f>"61.0118"</f>
        <v>61.0118</v>
      </c>
      <c r="F2615" t="s">
        <v>2574</v>
      </c>
    </row>
    <row r="2616" spans="3:6" x14ac:dyDescent="0.25">
      <c r="C2616" t="s">
        <v>26</v>
      </c>
      <c r="D2616" t="s">
        <v>11</v>
      </c>
      <c r="E2616" t="str">
        <f>"61.0119"</f>
        <v>61.0119</v>
      </c>
      <c r="F2616" t="s">
        <v>2575</v>
      </c>
    </row>
    <row r="2617" spans="3:6" x14ac:dyDescent="0.25">
      <c r="C2617" t="s">
        <v>26</v>
      </c>
      <c r="D2617" t="s">
        <v>11</v>
      </c>
      <c r="E2617" t="str">
        <f>"61.0120"</f>
        <v>61.0120</v>
      </c>
      <c r="F2617" t="s">
        <v>2576</v>
      </c>
    </row>
    <row r="2618" spans="3:6" x14ac:dyDescent="0.25">
      <c r="C2618" t="s">
        <v>26</v>
      </c>
      <c r="D2618" t="s">
        <v>11</v>
      </c>
      <c r="E2618" t="str">
        <f>"61.0121"</f>
        <v>61.0121</v>
      </c>
      <c r="F2618" t="s">
        <v>2577</v>
      </c>
    </row>
    <row r="2619" spans="3:6" x14ac:dyDescent="0.25">
      <c r="C2619" t="s">
        <v>26</v>
      </c>
      <c r="D2619" t="s">
        <v>11</v>
      </c>
      <c r="E2619" t="str">
        <f>"61.0122"</f>
        <v>61.0122</v>
      </c>
      <c r="F2619" t="s">
        <v>2578</v>
      </c>
    </row>
    <row r="2620" spans="3:6" x14ac:dyDescent="0.25">
      <c r="C2620" t="s">
        <v>26</v>
      </c>
      <c r="D2620" t="s">
        <v>11</v>
      </c>
      <c r="E2620" t="str">
        <f>"61.0123"</f>
        <v>61.0123</v>
      </c>
      <c r="F2620" t="s">
        <v>2579</v>
      </c>
    </row>
    <row r="2621" spans="3:6" x14ac:dyDescent="0.25">
      <c r="C2621" t="s">
        <v>26</v>
      </c>
      <c r="D2621" t="s">
        <v>11</v>
      </c>
      <c r="E2621" t="str">
        <f>"61.0124"</f>
        <v>61.0124</v>
      </c>
      <c r="F2621" t="s">
        <v>2580</v>
      </c>
    </row>
    <row r="2622" spans="3:6" x14ac:dyDescent="0.25">
      <c r="C2622" t="s">
        <v>26</v>
      </c>
      <c r="D2622" t="s">
        <v>11</v>
      </c>
      <c r="E2622" t="str">
        <f>"61.0125"</f>
        <v>61.0125</v>
      </c>
      <c r="F2622" t="s">
        <v>2581</v>
      </c>
    </row>
    <row r="2623" spans="3:6" x14ac:dyDescent="0.25">
      <c r="C2623" t="s">
        <v>26</v>
      </c>
      <c r="D2623" t="s">
        <v>11</v>
      </c>
      <c r="E2623" t="str">
        <f>"61.0199"</f>
        <v>61.0199</v>
      </c>
      <c r="F2623" t="s">
        <v>2582</v>
      </c>
    </row>
    <row r="2624" spans="3:6" x14ac:dyDescent="0.25">
      <c r="C2624" t="s">
        <v>26</v>
      </c>
      <c r="D2624" t="s">
        <v>11</v>
      </c>
      <c r="E2624" t="str">
        <f>"61.02"</f>
        <v>61.02</v>
      </c>
      <c r="F2624" t="s">
        <v>2583</v>
      </c>
    </row>
    <row r="2625" spans="3:6" x14ac:dyDescent="0.25">
      <c r="C2625" t="s">
        <v>26</v>
      </c>
      <c r="D2625" t="s">
        <v>11</v>
      </c>
      <c r="E2625" t="str">
        <f>"61.0204"</f>
        <v>61.0204</v>
      </c>
      <c r="F2625" t="s">
        <v>2584</v>
      </c>
    </row>
    <row r="2626" spans="3:6" x14ac:dyDescent="0.25">
      <c r="C2626" t="s">
        <v>26</v>
      </c>
      <c r="D2626" t="s">
        <v>11</v>
      </c>
      <c r="E2626" t="str">
        <f>"61.0206"</f>
        <v>61.0206</v>
      </c>
      <c r="F2626" t="s">
        <v>2585</v>
      </c>
    </row>
    <row r="2627" spans="3:6" x14ac:dyDescent="0.25">
      <c r="C2627" t="s">
        <v>26</v>
      </c>
      <c r="D2627" t="s">
        <v>11</v>
      </c>
      <c r="E2627" t="str">
        <f>"61.0207"</f>
        <v>61.0207</v>
      </c>
      <c r="F2627" t="s">
        <v>2586</v>
      </c>
    </row>
    <row r="2628" spans="3:6" x14ac:dyDescent="0.25">
      <c r="C2628" t="s">
        <v>26</v>
      </c>
      <c r="D2628" t="s">
        <v>11</v>
      </c>
      <c r="E2628" t="str">
        <f>"61.0211"</f>
        <v>61.0211</v>
      </c>
      <c r="F2628" t="s">
        <v>2587</v>
      </c>
    </row>
    <row r="2629" spans="3:6" x14ac:dyDescent="0.25">
      <c r="C2629" t="s">
        <v>26</v>
      </c>
      <c r="D2629" t="s">
        <v>11</v>
      </c>
      <c r="E2629" t="str">
        <f>"61.0215"</f>
        <v>61.0215</v>
      </c>
      <c r="F2629" t="s">
        <v>2588</v>
      </c>
    </row>
    <row r="2630" spans="3:6" x14ac:dyDescent="0.25">
      <c r="C2630" t="s">
        <v>26</v>
      </c>
      <c r="D2630" t="s">
        <v>11</v>
      </c>
      <c r="E2630" t="str">
        <f>"61.0217"</f>
        <v>61.0217</v>
      </c>
      <c r="F2630" t="s">
        <v>2589</v>
      </c>
    </row>
    <row r="2631" spans="3:6" x14ac:dyDescent="0.25">
      <c r="C2631" t="s">
        <v>26</v>
      </c>
      <c r="D2631" t="s">
        <v>11</v>
      </c>
      <c r="E2631" t="str">
        <f>"61.0218"</f>
        <v>61.0218</v>
      </c>
      <c r="F2631" t="s">
        <v>2590</v>
      </c>
    </row>
    <row r="2632" spans="3:6" x14ac:dyDescent="0.25">
      <c r="C2632" t="s">
        <v>26</v>
      </c>
      <c r="D2632" t="s">
        <v>11</v>
      </c>
      <c r="E2632" t="str">
        <f>"61.0299"</f>
        <v>61.0299</v>
      </c>
      <c r="F2632" t="s">
        <v>2591</v>
      </c>
    </row>
    <row r="2633" spans="3:6" x14ac:dyDescent="0.25">
      <c r="C2633" t="s">
        <v>26</v>
      </c>
      <c r="D2633" t="s">
        <v>11</v>
      </c>
      <c r="E2633" t="str">
        <f>"61.03"</f>
        <v>61.03</v>
      </c>
      <c r="F2633" t="s">
        <v>2592</v>
      </c>
    </row>
    <row r="2634" spans="3:6" x14ac:dyDescent="0.25">
      <c r="C2634" t="s">
        <v>26</v>
      </c>
      <c r="D2634" t="s">
        <v>11</v>
      </c>
      <c r="E2634" t="str">
        <f>"61.0399"</f>
        <v>61.0399</v>
      </c>
      <c r="F2634" t="s">
        <v>2593</v>
      </c>
    </row>
    <row r="2635" spans="3:6" x14ac:dyDescent="0.25">
      <c r="C2635" t="s">
        <v>26</v>
      </c>
      <c r="D2635" t="s">
        <v>11</v>
      </c>
      <c r="E2635" t="str">
        <f>"61.04"</f>
        <v>61.04</v>
      </c>
      <c r="F2635" t="s">
        <v>2594</v>
      </c>
    </row>
    <row r="2636" spans="3:6" x14ac:dyDescent="0.25">
      <c r="C2636" t="s">
        <v>26</v>
      </c>
      <c r="D2636" t="s">
        <v>11</v>
      </c>
      <c r="E2636" t="str">
        <f>"61.0499"</f>
        <v>61.0499</v>
      </c>
      <c r="F2636" t="s">
        <v>2595</v>
      </c>
    </row>
    <row r="2637" spans="3:6" x14ac:dyDescent="0.25">
      <c r="C2637" t="s">
        <v>26</v>
      </c>
      <c r="D2637" t="s">
        <v>11</v>
      </c>
      <c r="E2637" t="str">
        <f>"61.05"</f>
        <v>61.05</v>
      </c>
      <c r="F2637" t="s">
        <v>2596</v>
      </c>
    </row>
    <row r="2638" spans="3:6" x14ac:dyDescent="0.25">
      <c r="C2638" t="s">
        <v>26</v>
      </c>
      <c r="D2638" t="s">
        <v>11</v>
      </c>
      <c r="E2638" t="str">
        <f>"61.0599"</f>
        <v>61.0599</v>
      </c>
      <c r="F2638" t="s">
        <v>2597</v>
      </c>
    </row>
    <row r="2639" spans="3:6" x14ac:dyDescent="0.25">
      <c r="C2639" t="s">
        <v>26</v>
      </c>
      <c r="D2639" t="s">
        <v>11</v>
      </c>
      <c r="E2639" t="str">
        <f>"61.06"</f>
        <v>61.06</v>
      </c>
      <c r="F2639" t="s">
        <v>2598</v>
      </c>
    </row>
    <row r="2640" spans="3:6" x14ac:dyDescent="0.25">
      <c r="C2640" t="s">
        <v>26</v>
      </c>
      <c r="D2640" t="s">
        <v>11</v>
      </c>
      <c r="E2640" t="str">
        <f>"61.0602"</f>
        <v>61.0602</v>
      </c>
      <c r="F2640" t="s">
        <v>2599</v>
      </c>
    </row>
    <row r="2641" spans="3:6" x14ac:dyDescent="0.25">
      <c r="C2641" t="s">
        <v>26</v>
      </c>
      <c r="D2641" t="s">
        <v>11</v>
      </c>
      <c r="E2641" t="str">
        <f>"61.0603"</f>
        <v>61.0603</v>
      </c>
      <c r="F2641" t="s">
        <v>2600</v>
      </c>
    </row>
    <row r="2642" spans="3:6" x14ac:dyDescent="0.25">
      <c r="C2642" t="s">
        <v>26</v>
      </c>
      <c r="D2642" t="s">
        <v>11</v>
      </c>
      <c r="E2642" t="str">
        <f>"61.0699"</f>
        <v>61.0699</v>
      </c>
      <c r="F2642" t="s">
        <v>2601</v>
      </c>
    </row>
    <row r="2643" spans="3:6" x14ac:dyDescent="0.25">
      <c r="C2643" t="s">
        <v>26</v>
      </c>
      <c r="D2643" t="s">
        <v>11</v>
      </c>
      <c r="E2643" t="str">
        <f>"61.07"</f>
        <v>61.07</v>
      </c>
      <c r="F2643" t="s">
        <v>2602</v>
      </c>
    </row>
    <row r="2644" spans="3:6" x14ac:dyDescent="0.25">
      <c r="C2644" t="s">
        <v>26</v>
      </c>
      <c r="D2644" t="s">
        <v>11</v>
      </c>
      <c r="E2644" t="str">
        <f>"61.0799"</f>
        <v>61.0799</v>
      </c>
      <c r="F2644" t="s">
        <v>2603</v>
      </c>
    </row>
    <row r="2645" spans="3:6" x14ac:dyDescent="0.25">
      <c r="C2645" t="s">
        <v>26</v>
      </c>
      <c r="D2645" t="s">
        <v>11</v>
      </c>
      <c r="E2645" t="str">
        <f>"61.08"</f>
        <v>61.08</v>
      </c>
      <c r="F2645" t="s">
        <v>2604</v>
      </c>
    </row>
    <row r="2646" spans="3:6" x14ac:dyDescent="0.25">
      <c r="C2646" t="s">
        <v>26</v>
      </c>
      <c r="D2646" t="s">
        <v>11</v>
      </c>
      <c r="E2646" t="str">
        <f>"61.0809"</f>
        <v>61.0809</v>
      </c>
      <c r="F2646" t="s">
        <v>2605</v>
      </c>
    </row>
    <row r="2647" spans="3:6" x14ac:dyDescent="0.25">
      <c r="C2647" t="s">
        <v>26</v>
      </c>
      <c r="D2647" t="s">
        <v>11</v>
      </c>
      <c r="E2647" t="str">
        <f>"61.0899"</f>
        <v>61.0899</v>
      </c>
      <c r="F2647" t="s">
        <v>2606</v>
      </c>
    </row>
    <row r="2648" spans="3:6" x14ac:dyDescent="0.25">
      <c r="C2648" t="s">
        <v>26</v>
      </c>
      <c r="D2648" t="s">
        <v>11</v>
      </c>
      <c r="E2648" t="str">
        <f>"61.09"</f>
        <v>61.09</v>
      </c>
      <c r="F2648" t="s">
        <v>2607</v>
      </c>
    </row>
    <row r="2649" spans="3:6" x14ac:dyDescent="0.25">
      <c r="C2649" t="s">
        <v>26</v>
      </c>
      <c r="D2649" t="s">
        <v>11</v>
      </c>
      <c r="E2649" t="str">
        <f>"61.0903"</f>
        <v>61.0903</v>
      </c>
      <c r="F2649" t="s">
        <v>2608</v>
      </c>
    </row>
    <row r="2650" spans="3:6" x14ac:dyDescent="0.25">
      <c r="C2650" t="s">
        <v>26</v>
      </c>
      <c r="D2650" t="s">
        <v>11</v>
      </c>
      <c r="E2650" t="str">
        <f>"61.0999"</f>
        <v>61.0999</v>
      </c>
      <c r="F2650" t="s">
        <v>2609</v>
      </c>
    </row>
    <row r="2651" spans="3:6" x14ac:dyDescent="0.25">
      <c r="C2651" t="s">
        <v>26</v>
      </c>
      <c r="D2651" t="s">
        <v>11</v>
      </c>
      <c r="E2651" t="str">
        <f>"61.10"</f>
        <v>61.10</v>
      </c>
      <c r="F2651" t="s">
        <v>2610</v>
      </c>
    </row>
    <row r="2652" spans="3:6" x14ac:dyDescent="0.25">
      <c r="C2652" t="s">
        <v>26</v>
      </c>
      <c r="D2652" t="s">
        <v>11</v>
      </c>
      <c r="E2652" t="str">
        <f>"61.1099"</f>
        <v>61.1099</v>
      </c>
      <c r="F2652" t="s">
        <v>2611</v>
      </c>
    </row>
    <row r="2653" spans="3:6" x14ac:dyDescent="0.25">
      <c r="C2653" t="s">
        <v>26</v>
      </c>
      <c r="D2653" t="s">
        <v>11</v>
      </c>
      <c r="E2653" t="str">
        <f>"61.11"</f>
        <v>61.11</v>
      </c>
      <c r="F2653" t="s">
        <v>2612</v>
      </c>
    </row>
    <row r="2654" spans="3:6" x14ac:dyDescent="0.25">
      <c r="C2654" t="s">
        <v>26</v>
      </c>
      <c r="D2654" t="s">
        <v>11</v>
      </c>
      <c r="E2654" t="str">
        <f>"61.1104"</f>
        <v>61.1104</v>
      </c>
      <c r="F2654" t="s">
        <v>2613</v>
      </c>
    </row>
    <row r="2655" spans="3:6" x14ac:dyDescent="0.25">
      <c r="C2655" t="s">
        <v>26</v>
      </c>
      <c r="D2655" t="s">
        <v>11</v>
      </c>
      <c r="E2655" t="str">
        <f>"61.1105"</f>
        <v>61.1105</v>
      </c>
      <c r="F2655" t="s">
        <v>2614</v>
      </c>
    </row>
    <row r="2656" spans="3:6" x14ac:dyDescent="0.25">
      <c r="C2656" t="s">
        <v>26</v>
      </c>
      <c r="D2656" t="s">
        <v>11</v>
      </c>
      <c r="E2656" t="str">
        <f>"61.1199"</f>
        <v>61.1199</v>
      </c>
      <c r="F2656" t="s">
        <v>2615</v>
      </c>
    </row>
    <row r="2657" spans="3:6" x14ac:dyDescent="0.25">
      <c r="C2657" t="s">
        <v>26</v>
      </c>
      <c r="D2657" t="s">
        <v>11</v>
      </c>
      <c r="E2657" t="str">
        <f>"61.12"</f>
        <v>61.12</v>
      </c>
      <c r="F2657" t="s">
        <v>2616</v>
      </c>
    </row>
    <row r="2658" spans="3:6" x14ac:dyDescent="0.25">
      <c r="C2658" t="s">
        <v>26</v>
      </c>
      <c r="D2658" t="s">
        <v>11</v>
      </c>
      <c r="E2658" t="str">
        <f>"61.1299"</f>
        <v>61.1299</v>
      </c>
      <c r="F2658" t="s">
        <v>2617</v>
      </c>
    </row>
    <row r="2659" spans="3:6" x14ac:dyDescent="0.25">
      <c r="C2659" t="s">
        <v>26</v>
      </c>
      <c r="D2659" t="s">
        <v>11</v>
      </c>
      <c r="E2659" t="str">
        <f>"61.13"</f>
        <v>61.13</v>
      </c>
      <c r="F2659" t="s">
        <v>2618</v>
      </c>
    </row>
    <row r="2660" spans="3:6" x14ac:dyDescent="0.25">
      <c r="C2660" t="s">
        <v>26</v>
      </c>
      <c r="D2660" t="s">
        <v>11</v>
      </c>
      <c r="E2660" t="str">
        <f>"61.1399"</f>
        <v>61.1399</v>
      </c>
      <c r="F2660" t="s">
        <v>2619</v>
      </c>
    </row>
    <row r="2661" spans="3:6" x14ac:dyDescent="0.25">
      <c r="C2661" t="s">
        <v>26</v>
      </c>
      <c r="D2661" t="s">
        <v>11</v>
      </c>
      <c r="E2661" t="str">
        <f>"61.14"</f>
        <v>61.14</v>
      </c>
      <c r="F2661" t="s">
        <v>2620</v>
      </c>
    </row>
    <row r="2662" spans="3:6" x14ac:dyDescent="0.25">
      <c r="C2662" t="s">
        <v>26</v>
      </c>
      <c r="D2662" t="s">
        <v>11</v>
      </c>
      <c r="E2662" t="str">
        <f>"61.1499"</f>
        <v>61.1499</v>
      </c>
      <c r="F2662" t="s">
        <v>2621</v>
      </c>
    </row>
    <row r="2663" spans="3:6" x14ac:dyDescent="0.25">
      <c r="C2663" t="s">
        <v>26</v>
      </c>
      <c r="D2663" t="s">
        <v>11</v>
      </c>
      <c r="E2663" t="str">
        <f>"61.15"</f>
        <v>61.15</v>
      </c>
      <c r="F2663" t="s">
        <v>2622</v>
      </c>
    </row>
    <row r="2664" spans="3:6" x14ac:dyDescent="0.25">
      <c r="C2664" t="s">
        <v>26</v>
      </c>
      <c r="D2664" t="s">
        <v>11</v>
      </c>
      <c r="E2664" t="str">
        <f>"61.1599"</f>
        <v>61.1599</v>
      </c>
      <c r="F2664" t="s">
        <v>2623</v>
      </c>
    </row>
    <row r="2665" spans="3:6" x14ac:dyDescent="0.25">
      <c r="C2665" t="s">
        <v>26</v>
      </c>
      <c r="D2665" t="s">
        <v>11</v>
      </c>
      <c r="E2665" t="str">
        <f>"61.16"</f>
        <v>61.16</v>
      </c>
      <c r="F2665" t="s">
        <v>2624</v>
      </c>
    </row>
    <row r="2666" spans="3:6" x14ac:dyDescent="0.25">
      <c r="C2666" t="s">
        <v>26</v>
      </c>
      <c r="D2666" t="s">
        <v>11</v>
      </c>
      <c r="E2666" t="str">
        <f>"61.1601"</f>
        <v>61.1601</v>
      </c>
      <c r="F2666" t="s">
        <v>2625</v>
      </c>
    </row>
    <row r="2667" spans="3:6" x14ac:dyDescent="0.25">
      <c r="C2667" t="s">
        <v>26</v>
      </c>
      <c r="D2667" t="s">
        <v>11</v>
      </c>
      <c r="E2667" t="str">
        <f>"61.1699"</f>
        <v>61.1699</v>
      </c>
      <c r="F2667" t="s">
        <v>2626</v>
      </c>
    </row>
    <row r="2668" spans="3:6" x14ac:dyDescent="0.25">
      <c r="C2668" t="s">
        <v>26</v>
      </c>
      <c r="D2668" t="s">
        <v>11</v>
      </c>
      <c r="E2668" t="str">
        <f>"61.17"</f>
        <v>61.17</v>
      </c>
      <c r="F2668" t="s">
        <v>2627</v>
      </c>
    </row>
    <row r="2669" spans="3:6" x14ac:dyDescent="0.25">
      <c r="C2669" t="s">
        <v>26</v>
      </c>
      <c r="D2669" t="s">
        <v>11</v>
      </c>
      <c r="E2669" t="str">
        <f>"61.1799"</f>
        <v>61.1799</v>
      </c>
      <c r="F2669" t="s">
        <v>2628</v>
      </c>
    </row>
    <row r="2670" spans="3:6" x14ac:dyDescent="0.25">
      <c r="C2670" t="s">
        <v>26</v>
      </c>
      <c r="D2670" t="s">
        <v>11</v>
      </c>
      <c r="E2670" t="str">
        <f>"61.18"</f>
        <v>61.18</v>
      </c>
      <c r="F2670" t="s">
        <v>2629</v>
      </c>
    </row>
    <row r="2671" spans="3:6" x14ac:dyDescent="0.25">
      <c r="C2671" t="s">
        <v>26</v>
      </c>
      <c r="D2671" t="s">
        <v>11</v>
      </c>
      <c r="E2671" t="str">
        <f>"61.1802"</f>
        <v>61.1802</v>
      </c>
      <c r="F2671" t="s">
        <v>2630</v>
      </c>
    </row>
    <row r="2672" spans="3:6" x14ac:dyDescent="0.25">
      <c r="C2672" t="s">
        <v>26</v>
      </c>
      <c r="D2672" t="s">
        <v>11</v>
      </c>
      <c r="E2672" t="str">
        <f>"61.1803"</f>
        <v>61.1803</v>
      </c>
      <c r="F2672" t="s">
        <v>2631</v>
      </c>
    </row>
    <row r="2673" spans="3:6" x14ac:dyDescent="0.25">
      <c r="C2673" t="s">
        <v>26</v>
      </c>
      <c r="D2673" t="s">
        <v>11</v>
      </c>
      <c r="E2673" t="str">
        <f>"61.1899"</f>
        <v>61.1899</v>
      </c>
      <c r="F2673" t="s">
        <v>2632</v>
      </c>
    </row>
    <row r="2674" spans="3:6" x14ac:dyDescent="0.25">
      <c r="C2674" t="s">
        <v>26</v>
      </c>
      <c r="D2674" t="s">
        <v>11</v>
      </c>
      <c r="E2674" t="str">
        <f>"61.19"</f>
        <v>61.19</v>
      </c>
      <c r="F2674" t="s">
        <v>2633</v>
      </c>
    </row>
    <row r="2675" spans="3:6" x14ac:dyDescent="0.25">
      <c r="C2675" t="s">
        <v>26</v>
      </c>
      <c r="D2675" t="s">
        <v>11</v>
      </c>
      <c r="E2675" t="str">
        <f>"61.1999"</f>
        <v>61.1999</v>
      </c>
      <c r="F2675" t="s">
        <v>2634</v>
      </c>
    </row>
    <row r="2676" spans="3:6" x14ac:dyDescent="0.25">
      <c r="C2676" t="s">
        <v>26</v>
      </c>
      <c r="D2676" t="s">
        <v>11</v>
      </c>
      <c r="E2676" t="str">
        <f>"61.20"</f>
        <v>61.20</v>
      </c>
      <c r="F2676" t="s">
        <v>2635</v>
      </c>
    </row>
    <row r="2677" spans="3:6" x14ac:dyDescent="0.25">
      <c r="C2677" t="s">
        <v>26</v>
      </c>
      <c r="D2677" t="s">
        <v>11</v>
      </c>
      <c r="E2677" t="str">
        <f>"61.2099"</f>
        <v>61.2099</v>
      </c>
      <c r="F2677" t="s">
        <v>2636</v>
      </c>
    </row>
    <row r="2678" spans="3:6" x14ac:dyDescent="0.25">
      <c r="C2678" t="s">
        <v>26</v>
      </c>
      <c r="D2678" t="s">
        <v>11</v>
      </c>
      <c r="E2678" t="str">
        <f>"61.21"</f>
        <v>61.21</v>
      </c>
      <c r="F2678" t="s">
        <v>2637</v>
      </c>
    </row>
    <row r="2679" spans="3:6" x14ac:dyDescent="0.25">
      <c r="C2679" t="s">
        <v>26</v>
      </c>
      <c r="D2679" t="s">
        <v>11</v>
      </c>
      <c r="E2679" t="str">
        <f>"61.2102"</f>
        <v>61.2102</v>
      </c>
      <c r="F2679" t="s">
        <v>2638</v>
      </c>
    </row>
    <row r="2680" spans="3:6" x14ac:dyDescent="0.25">
      <c r="C2680" t="s">
        <v>26</v>
      </c>
      <c r="D2680" t="s">
        <v>11</v>
      </c>
      <c r="E2680" t="str">
        <f>"61.2199"</f>
        <v>61.2199</v>
      </c>
      <c r="F2680" t="s">
        <v>2639</v>
      </c>
    </row>
    <row r="2681" spans="3:6" x14ac:dyDescent="0.25">
      <c r="C2681" t="s">
        <v>26</v>
      </c>
      <c r="D2681" t="s">
        <v>11</v>
      </c>
      <c r="E2681" t="str">
        <f>"61.2201"</f>
        <v>61.2201</v>
      </c>
      <c r="F2681" t="s">
        <v>2640</v>
      </c>
    </row>
    <row r="2682" spans="3:6" x14ac:dyDescent="0.25">
      <c r="C2682" t="s">
        <v>26</v>
      </c>
      <c r="D2682" t="s">
        <v>11</v>
      </c>
      <c r="E2682" t="str">
        <f>"61.2299"</f>
        <v>61.2299</v>
      </c>
      <c r="F2682" t="s">
        <v>2641</v>
      </c>
    </row>
    <row r="2683" spans="3:6" x14ac:dyDescent="0.25">
      <c r="C2683" t="s">
        <v>26</v>
      </c>
      <c r="D2683" t="s">
        <v>11</v>
      </c>
      <c r="E2683" t="str">
        <f>"61.23"</f>
        <v>61.23</v>
      </c>
      <c r="F2683" t="s">
        <v>2642</v>
      </c>
    </row>
    <row r="2684" spans="3:6" x14ac:dyDescent="0.25">
      <c r="C2684" t="s">
        <v>26</v>
      </c>
      <c r="D2684" t="s">
        <v>11</v>
      </c>
      <c r="E2684" t="str">
        <f>"61.2399"</f>
        <v>61.2399</v>
      </c>
      <c r="F2684" t="s">
        <v>2643</v>
      </c>
    </row>
    <row r="2685" spans="3:6" x14ac:dyDescent="0.25">
      <c r="C2685" t="s">
        <v>26</v>
      </c>
      <c r="D2685" t="s">
        <v>11</v>
      </c>
      <c r="E2685" t="str">
        <f>"61.24"</f>
        <v>61.24</v>
      </c>
      <c r="F2685" t="s">
        <v>2644</v>
      </c>
    </row>
    <row r="2686" spans="3:6" x14ac:dyDescent="0.25">
      <c r="C2686" t="s">
        <v>26</v>
      </c>
      <c r="D2686" t="s">
        <v>11</v>
      </c>
      <c r="E2686" t="str">
        <f>"61.2499"</f>
        <v>61.2499</v>
      </c>
      <c r="F2686" t="s">
        <v>2645</v>
      </c>
    </row>
    <row r="2687" spans="3:6" x14ac:dyDescent="0.25">
      <c r="C2687" t="s">
        <v>26</v>
      </c>
      <c r="D2687" t="s">
        <v>11</v>
      </c>
      <c r="E2687" t="str">
        <f>"61.25"</f>
        <v>61.25</v>
      </c>
      <c r="F2687" t="s">
        <v>2646</v>
      </c>
    </row>
    <row r="2688" spans="3:6" x14ac:dyDescent="0.25">
      <c r="C2688" t="s">
        <v>26</v>
      </c>
      <c r="D2688" t="s">
        <v>11</v>
      </c>
      <c r="E2688" t="str">
        <f>"61.2599"</f>
        <v>61.2599</v>
      </c>
      <c r="F2688" t="s">
        <v>2647</v>
      </c>
    </row>
    <row r="2689" spans="3:6" x14ac:dyDescent="0.25">
      <c r="C2689" t="s">
        <v>26</v>
      </c>
      <c r="D2689" t="s">
        <v>11</v>
      </c>
      <c r="E2689" t="str">
        <f>"61.26"</f>
        <v>61.26</v>
      </c>
      <c r="F2689" t="s">
        <v>2648</v>
      </c>
    </row>
    <row r="2690" spans="3:6" x14ac:dyDescent="0.25">
      <c r="C2690" t="s">
        <v>26</v>
      </c>
      <c r="D2690" t="s">
        <v>11</v>
      </c>
      <c r="E2690" t="str">
        <f>"61.2602"</f>
        <v>61.2602</v>
      </c>
      <c r="F2690" t="s">
        <v>2649</v>
      </c>
    </row>
    <row r="2691" spans="3:6" x14ac:dyDescent="0.25">
      <c r="C2691" t="s">
        <v>26</v>
      </c>
      <c r="D2691" t="s">
        <v>11</v>
      </c>
      <c r="E2691" t="str">
        <f>"61.2603"</f>
        <v>61.2603</v>
      </c>
      <c r="F2691" t="s">
        <v>2650</v>
      </c>
    </row>
    <row r="2692" spans="3:6" x14ac:dyDescent="0.25">
      <c r="C2692" t="s">
        <v>26</v>
      </c>
      <c r="D2692" t="s">
        <v>11</v>
      </c>
      <c r="E2692" t="str">
        <f>"61.2606"</f>
        <v>61.2606</v>
      </c>
      <c r="F2692" t="s">
        <v>2651</v>
      </c>
    </row>
    <row r="2693" spans="3:6" x14ac:dyDescent="0.25">
      <c r="C2693" t="s">
        <v>26</v>
      </c>
      <c r="D2693" t="s">
        <v>11</v>
      </c>
      <c r="E2693" t="str">
        <f>"61.2699"</f>
        <v>61.2699</v>
      </c>
      <c r="F2693" t="s">
        <v>2652</v>
      </c>
    </row>
    <row r="2694" spans="3:6" x14ac:dyDescent="0.25">
      <c r="C2694" t="s">
        <v>26</v>
      </c>
      <c r="D2694" t="s">
        <v>11</v>
      </c>
      <c r="E2694" t="str">
        <f>"61.27"</f>
        <v>61.27</v>
      </c>
      <c r="F2694" t="s">
        <v>2653</v>
      </c>
    </row>
    <row r="2695" spans="3:6" x14ac:dyDescent="0.25">
      <c r="C2695" t="s">
        <v>26</v>
      </c>
      <c r="D2695" t="s">
        <v>11</v>
      </c>
      <c r="E2695" t="str">
        <f>"61.2703"</f>
        <v>61.2703</v>
      </c>
      <c r="F2695" t="s">
        <v>2654</v>
      </c>
    </row>
    <row r="2696" spans="3:6" x14ac:dyDescent="0.25">
      <c r="C2696" t="s">
        <v>26</v>
      </c>
      <c r="D2696" t="s">
        <v>11</v>
      </c>
      <c r="E2696" t="str">
        <f>"61.2799"</f>
        <v>61.2799</v>
      </c>
      <c r="F2696" t="s">
        <v>2655</v>
      </c>
    </row>
    <row r="2697" spans="3:6" x14ac:dyDescent="0.25">
      <c r="C2697" t="s">
        <v>26</v>
      </c>
      <c r="D2697" t="s">
        <v>11</v>
      </c>
      <c r="E2697" t="str">
        <f>"61.28"</f>
        <v>61.28</v>
      </c>
      <c r="F2697" t="s">
        <v>2656</v>
      </c>
    </row>
    <row r="2698" spans="3:6" x14ac:dyDescent="0.25">
      <c r="C2698" t="s">
        <v>26</v>
      </c>
      <c r="D2698" t="s">
        <v>11</v>
      </c>
      <c r="E2698" t="str">
        <f>"61.2899"</f>
        <v>61.2899</v>
      </c>
      <c r="F2698" t="s">
        <v>2657</v>
      </c>
    </row>
    <row r="2699" spans="3:6" x14ac:dyDescent="0.25">
      <c r="C2699" t="s">
        <v>26</v>
      </c>
      <c r="D2699" t="s">
        <v>11</v>
      </c>
      <c r="E2699" t="str">
        <f>"61.99"</f>
        <v>61.99</v>
      </c>
      <c r="F2699" t="s">
        <v>2658</v>
      </c>
    </row>
    <row r="2700" spans="3:6" x14ac:dyDescent="0.25">
      <c r="C2700" t="s">
        <v>26</v>
      </c>
      <c r="D2700" t="s">
        <v>11</v>
      </c>
      <c r="E2700" t="str">
        <f>"61.9999"</f>
        <v>61.9999</v>
      </c>
      <c r="F2700" t="s">
        <v>2658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CIP 2020</vt:lpstr>
      <vt:lpstr>Crosswalk2010to2020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Max Reiner</cp:lastModifiedBy>
  <dcterms:created xsi:type="dcterms:W3CDTF">2021-09-13T04:36:00Z</dcterms:created>
  <dcterms:modified xsi:type="dcterms:W3CDTF">2021-09-13T04:36:00Z</dcterms:modified>
</cp:coreProperties>
</file>